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45" activeTab="0"/>
  </bookViews>
  <sheets>
    <sheet name="Cable  Selection" sheetId="1" r:id="rId1"/>
    <sheet name="Cable" sheetId="2" r:id="rId2"/>
    <sheet name="Correcction Factor" sheetId="3" r:id="rId3"/>
    <sheet name="Sheet3" sheetId="4" state="hidden" r:id="rId4"/>
  </sheets>
  <definedNames>
    <definedName name="correctionk1">'Sheet3'!$R$16:$T$29</definedName>
    <definedName name="Correctionk2">'Sheet3'!$U$16:$W$29</definedName>
    <definedName name="correctionk3">'Sheet3'!$X$16:$Y$20</definedName>
    <definedName name="correctionk3.1">'Sheet3'!$X$23:$Y$28</definedName>
    <definedName name="correctionk4">'Sheet3'!$Z$15:$AE$21</definedName>
    <definedName name="earth1">'Sheet3'!$C$173:$O$198</definedName>
    <definedName name="earth2">'Sheet3'!$C$205:$O$230</definedName>
    <definedName name="fl">'Sheet3'!$C$8:$H$34</definedName>
    <definedName name="gr">'Sheet3'!$U$16:$W$29</definedName>
    <definedName name="grd">'Sheet3'!$Z$15:$AE$20</definedName>
    <definedName name="hi">'Sheet3'!$AF$25:$AF$30</definedName>
    <definedName name="hihi">'Sheet3'!$AF$25:$AG$30</definedName>
    <definedName name="ht">'Sheet3'!$C$237:$O$247</definedName>
    <definedName name="jp">'Sheet3'!$N$13:$N$19</definedName>
    <definedName name="no">'Cable  Selection'!$DM$58:$DM$67</definedName>
    <definedName name="_xlnm.Print_Area" localSheetId="0">'Cable  Selection'!$A$1:$T$36</definedName>
    <definedName name="res1">'Sheet3'!$X$16:$Y$20</definedName>
    <definedName name="res2">'Sheet3'!$X$23:$Y$28</definedName>
    <definedName name="tem">'Sheet3'!$AA$24:$AA$31</definedName>
    <definedName name="temp">'Sheet3'!$AA$24:$AE$31</definedName>
    <definedName name="tr">'Sheet3'!$AF$15:$AL$22</definedName>
    <definedName name="tray">'Sheet3'!$AF$15:$AF$22</definedName>
  </definedNames>
  <calcPr fullCalcOnLoad="1"/>
</workbook>
</file>

<file path=xl/sharedStrings.xml><?xml version="1.0" encoding="utf-8"?>
<sst xmlns="http://schemas.openxmlformats.org/spreadsheetml/2006/main" count="2802" uniqueCount="568">
  <si>
    <t>Amp</t>
  </si>
  <si>
    <t>PVC</t>
  </si>
  <si>
    <t>LT XLPE</t>
  </si>
  <si>
    <t>HT XLPE</t>
  </si>
  <si>
    <t>AL</t>
  </si>
  <si>
    <t>Volt</t>
  </si>
  <si>
    <t>%</t>
  </si>
  <si>
    <t>Kw</t>
  </si>
  <si>
    <t>Runing SinØ</t>
  </si>
  <si>
    <t>Full Load Current</t>
  </si>
  <si>
    <t>Consumed Load</t>
  </si>
  <si>
    <t>Demand Factor (Assume)</t>
  </si>
  <si>
    <t xml:space="preserve">Starting SinØ  </t>
  </si>
  <si>
    <t>Load in  KVA</t>
  </si>
  <si>
    <t>Type of Cable</t>
  </si>
  <si>
    <t>No of Cable/Tray</t>
  </si>
  <si>
    <t>(Grouping factor)==No of Tray</t>
  </si>
  <si>
    <t xml:space="preserve"> (Temp. Derating factor)</t>
  </si>
  <si>
    <t>KVA</t>
  </si>
  <si>
    <r>
      <t>Runing Cos</t>
    </r>
    <r>
      <rPr>
        <sz val="9"/>
        <color indexed="8"/>
        <rFont val="Calibri"/>
        <family val="2"/>
      </rPr>
      <t>Ø</t>
    </r>
  </si>
  <si>
    <t>Ohm / km</t>
  </si>
  <si>
    <t>Mho/km</t>
  </si>
  <si>
    <t>1 Ph</t>
  </si>
  <si>
    <t>3 Ph</t>
  </si>
  <si>
    <t>Corrrection Factor:K1</t>
  </si>
  <si>
    <t xml:space="preserve">Ambient Temp© </t>
  </si>
  <si>
    <t>Insulation</t>
  </si>
  <si>
    <t>XLPE/EPR</t>
  </si>
  <si>
    <t>Ground Corrrection Factor:K2</t>
  </si>
  <si>
    <t>Ground Temp©</t>
  </si>
  <si>
    <t>Corrrection Factor:K3</t>
  </si>
  <si>
    <t>Soil Thermal Resistivity: 2.5 k.m/W</t>
  </si>
  <si>
    <t>Resistivity</t>
  </si>
  <si>
    <t>K3</t>
  </si>
  <si>
    <t>Nature of Soil</t>
  </si>
  <si>
    <t>Very Wet Soil</t>
  </si>
  <si>
    <t>Wet Soil</t>
  </si>
  <si>
    <t>Damp Soil</t>
  </si>
  <si>
    <t>Dry Soil</t>
  </si>
  <si>
    <t>Very Dry Soil</t>
  </si>
  <si>
    <t>Cable Installation Media</t>
  </si>
  <si>
    <t>Demand Factor</t>
  </si>
  <si>
    <t>No of Circuit</t>
  </si>
  <si>
    <t>Correction Factor(K4)(Ground Cable Dist)</t>
  </si>
  <si>
    <t>Nill</t>
  </si>
  <si>
    <t>cable Dia</t>
  </si>
  <si>
    <t>0.125m</t>
  </si>
  <si>
    <t>0.25m</t>
  </si>
  <si>
    <t>0.5m</t>
  </si>
  <si>
    <t>Meter</t>
  </si>
  <si>
    <t>Air</t>
  </si>
  <si>
    <t>Ground</t>
  </si>
  <si>
    <t>Not Known</t>
  </si>
  <si>
    <t>System Voltage  V(L-L)</t>
  </si>
  <si>
    <t>System Voltage  V(L-N)</t>
  </si>
  <si>
    <t>Cable Dia</t>
  </si>
  <si>
    <t>0.125 mt</t>
  </si>
  <si>
    <t>0.25 mt</t>
  </si>
  <si>
    <t>0.5 mt</t>
  </si>
  <si>
    <t>Distance Between Cable</t>
  </si>
  <si>
    <t>Total Derating Factor</t>
  </si>
  <si>
    <t xml:space="preserve">Conductor Resistance. </t>
  </si>
  <si>
    <t>Conductor Reactance</t>
  </si>
  <si>
    <t>Dol</t>
  </si>
  <si>
    <t>Auto Tra.</t>
  </si>
  <si>
    <t>Soft</t>
  </si>
  <si>
    <t>Freq.Conv</t>
  </si>
  <si>
    <t>Electrical Load</t>
  </si>
  <si>
    <t>Select Your Load</t>
  </si>
  <si>
    <t>Motor (Only)</t>
  </si>
  <si>
    <t>N.B: Enter Your Data in White Background Cell</t>
  </si>
  <si>
    <t>Nominal Conductor Area (Sq.mm)</t>
  </si>
  <si>
    <t>Maximum Conductor Resistance at 20°C (ohm/km)</t>
  </si>
  <si>
    <t>Maximum Conductor Reactance at 20°C (ohm/km)</t>
  </si>
  <si>
    <t>1cX0.5</t>
  </si>
  <si>
    <t>1cX0.75</t>
  </si>
  <si>
    <t>1cX1</t>
  </si>
  <si>
    <t>1cX1.5</t>
  </si>
  <si>
    <t>1cX2.5</t>
  </si>
  <si>
    <t>1cX4</t>
  </si>
  <si>
    <t>1cX6</t>
  </si>
  <si>
    <t>1cX10</t>
  </si>
  <si>
    <t>1cX16</t>
  </si>
  <si>
    <t>1cX25</t>
  </si>
  <si>
    <t>1cX35</t>
  </si>
  <si>
    <t>1cX50</t>
  </si>
  <si>
    <t>1cX70</t>
  </si>
  <si>
    <t>1cX95</t>
  </si>
  <si>
    <t>1cX120</t>
  </si>
  <si>
    <t>2cX0.5</t>
  </si>
  <si>
    <t>2cX0.75</t>
  </si>
  <si>
    <t>2cX1</t>
  </si>
  <si>
    <t>2cX1.5</t>
  </si>
  <si>
    <t>2cX2.5</t>
  </si>
  <si>
    <t>2cX4</t>
  </si>
  <si>
    <t>3cX0.5</t>
  </si>
  <si>
    <t>3cX0.75</t>
  </si>
  <si>
    <t>3cX1</t>
  </si>
  <si>
    <t>3cX1.5</t>
  </si>
  <si>
    <t>3cX2.5</t>
  </si>
  <si>
    <t>3cX4</t>
  </si>
  <si>
    <t>Aluminium</t>
  </si>
  <si>
    <t>Copper</t>
  </si>
  <si>
    <t xml:space="preserve">Short Circuit Current Rating for 1Sec.duration in K. Amps  </t>
  </si>
  <si>
    <t>Resi</t>
  </si>
  <si>
    <t>React</t>
  </si>
  <si>
    <t>Duct</t>
  </si>
  <si>
    <t>ohm/km</t>
  </si>
  <si>
    <t>.0.094</t>
  </si>
  <si>
    <t>PVC Flexible</t>
  </si>
  <si>
    <t>Copper        Current Carrying Capacity (Amp)</t>
  </si>
  <si>
    <t>Aluminum</t>
  </si>
  <si>
    <t>1.1 KV PVC Insulated</t>
  </si>
  <si>
    <t>1.1 KV XLPE Insulated</t>
  </si>
  <si>
    <t xml:space="preserve">3.8 / 6.6 KV(6.6 KV Earthed)  AL/COPPER COND, XLPE INSULATED  CABLES </t>
  </si>
  <si>
    <t xml:space="preserve">6.6 /11 KV(6.6KV Un-Earthed/11KV Earthed)  AL/COPPER COND, XLPE INSULATED  CABLES </t>
  </si>
  <si>
    <t xml:space="preserve">11 KV(11KV Un Earthed)  AL/COPPER COND, XLPE INSULATED  CABLES </t>
  </si>
  <si>
    <t xml:space="preserve">66 KV(66 KV Un Earthed)  AL/COPPER COND, XLPE INSULATED  CABLES </t>
  </si>
  <si>
    <t>HT XLPE ( 6.6 KV-Earthed)</t>
  </si>
  <si>
    <t>PVC Flexible (Up to 1.1 KV)</t>
  </si>
  <si>
    <t>HT XLPE ( 11 KV-Earthed)</t>
  </si>
  <si>
    <t>HT XLPE ( 11 KV-Un Earthed)</t>
  </si>
  <si>
    <t>HT XLPE ( 66 KV-Earthed)</t>
  </si>
  <si>
    <t>LT XLPE (Up to 1.1 KV)</t>
  </si>
  <si>
    <t>LT PVC (Up to 1.1 KV)</t>
  </si>
  <si>
    <t>Rsi</t>
  </si>
  <si>
    <t>S.C</t>
  </si>
  <si>
    <t>CL</t>
  </si>
  <si>
    <t>°C</t>
  </si>
  <si>
    <t xml:space="preserve">Distance </t>
  </si>
  <si>
    <t>LT PVC</t>
  </si>
  <si>
    <t>Derating  Current</t>
  </si>
  <si>
    <t>Cable Current Capacity</t>
  </si>
  <si>
    <t>Receving end Voltage</t>
  </si>
  <si>
    <t>Enter Short circuit Current If You Know</t>
  </si>
  <si>
    <t>K.Amp</t>
  </si>
  <si>
    <t>Min.No of Runs of Selected Cable</t>
  </si>
  <si>
    <t>Aluminium        Current Carrying Capacity (Amp)</t>
  </si>
  <si>
    <t>S.C Capacity of Selected Cable</t>
  </si>
  <si>
    <t>No. of Runs of selected cable</t>
  </si>
  <si>
    <t>Formula For % Voltage Drop:=</t>
  </si>
  <si>
    <t>(1.732 X (Full Load Current)X(RCosØ+j SinØ)XLengthX100) / Line VoltageXNo of RunX1000</t>
  </si>
  <si>
    <r>
      <t>Starting Cos</t>
    </r>
    <r>
      <rPr>
        <sz val="9"/>
        <color indexed="8"/>
        <rFont val="Calibri"/>
        <family val="2"/>
      </rPr>
      <t xml:space="preserve">Ø  </t>
    </r>
  </si>
  <si>
    <t xml:space="preserve"> —  </t>
  </si>
  <si>
    <t xml:space="preserve"> 39  </t>
  </si>
  <si>
    <t xml:space="preserve"> 38  </t>
  </si>
  <si>
    <t xml:space="preserve"> 35  </t>
  </si>
  <si>
    <t xml:space="preserve"> 0.304  </t>
  </si>
  <si>
    <t xml:space="preserve"> 0.460  </t>
  </si>
  <si>
    <t xml:space="preserve"> 48  </t>
  </si>
  <si>
    <t xml:space="preserve"> 47  </t>
  </si>
  <si>
    <t xml:space="preserve"> 45  </t>
  </si>
  <si>
    <t xml:space="preserve"> 0.376  </t>
  </si>
  <si>
    <t xml:space="preserve"> 0.572  </t>
  </si>
  <si>
    <t xml:space="preserve"> 37  </t>
  </si>
  <si>
    <t xml:space="preserve"> 49  </t>
  </si>
  <si>
    <t xml:space="preserve"> 44  </t>
  </si>
  <si>
    <t xml:space="preserve"> 0.456  </t>
  </si>
  <si>
    <t xml:space="preserve"> 0.690  </t>
  </si>
  <si>
    <t xml:space="preserve"> 60  </t>
  </si>
  <si>
    <t xml:space="preserve"> 59  </t>
  </si>
  <si>
    <t xml:space="preserve"> 57  </t>
  </si>
  <si>
    <t xml:space="preserve"> 0.564  </t>
  </si>
  <si>
    <t xml:space="preserve"> 0.858  </t>
  </si>
  <si>
    <t xml:space="preserve"> 51  </t>
  </si>
  <si>
    <t xml:space="preserve"> 65  </t>
  </si>
  <si>
    <t xml:space="preserve"> 64  </t>
  </si>
  <si>
    <t xml:space="preserve"> 0.760  </t>
  </si>
  <si>
    <t xml:space="preserve"> 1.150  </t>
  </si>
  <si>
    <t xml:space="preserve"> 62  </t>
  </si>
  <si>
    <t xml:space="preserve"> 61  </t>
  </si>
  <si>
    <t xml:space="preserve"> 80  </t>
  </si>
  <si>
    <t xml:space="preserve"> 78  </t>
  </si>
  <si>
    <t xml:space="preserve"> 77  </t>
  </si>
  <si>
    <t xml:space="preserve"> 0.940  </t>
  </si>
  <si>
    <t xml:space="preserve"> 1.430  </t>
  </si>
  <si>
    <t xml:space="preserve"> 66  </t>
  </si>
  <si>
    <t xml:space="preserve"> 85  </t>
  </si>
  <si>
    <t xml:space="preserve"> 83  </t>
  </si>
  <si>
    <t xml:space="preserve"> 82  </t>
  </si>
  <si>
    <t xml:space="preserve"> 1.220  </t>
  </si>
  <si>
    <t xml:space="preserve"> 1.84  </t>
  </si>
  <si>
    <t xml:space="preserve"> 81  </t>
  </si>
  <si>
    <t xml:space="preserve"> 104  </t>
  </si>
  <si>
    <t xml:space="preserve"> 102  </t>
  </si>
  <si>
    <t xml:space="preserve"> 106  </t>
  </si>
  <si>
    <t xml:space="preserve"> 1.504  </t>
  </si>
  <si>
    <t xml:space="preserve"> 2.288  </t>
  </si>
  <si>
    <t xml:space="preserve"> 86  </t>
  </si>
  <si>
    <t xml:space="preserve"> 84  </t>
  </si>
  <si>
    <t xml:space="preserve"> 110  </t>
  </si>
  <si>
    <t xml:space="preserve"> 1.900  </t>
  </si>
  <si>
    <t xml:space="preserve"> 2.88  </t>
  </si>
  <si>
    <t xml:space="preserve"> 99  </t>
  </si>
  <si>
    <t xml:space="preserve"> 90  </t>
  </si>
  <si>
    <t xml:space="preserve"> 115  </t>
  </si>
  <si>
    <t xml:space="preserve"> 130  </t>
  </si>
  <si>
    <t xml:space="preserve"> 145  </t>
  </si>
  <si>
    <t xml:space="preserve"> 2.350  </t>
  </si>
  <si>
    <t xml:space="preserve"> 3.575  </t>
  </si>
  <si>
    <t xml:space="preserve"> 100  </t>
  </si>
  <si>
    <t xml:space="preserve"> 105  </t>
  </si>
  <si>
    <t xml:space="preserve"> 125  </t>
  </si>
  <si>
    <t xml:space="preserve"> 2.660  </t>
  </si>
  <si>
    <t xml:space="preserve"> 4.03  </t>
  </si>
  <si>
    <t xml:space="preserve"> 117  </t>
  </si>
  <si>
    <t xml:space="preserve"> 135  </t>
  </si>
  <si>
    <t xml:space="preserve"> 155  </t>
  </si>
  <si>
    <t xml:space="preserve"> 140  </t>
  </si>
  <si>
    <t xml:space="preserve"> 175  </t>
  </si>
  <si>
    <t xml:space="preserve"> 3.290  </t>
  </si>
  <si>
    <t xml:space="preserve"> 5.005  </t>
  </si>
  <si>
    <t xml:space="preserve"> 120  </t>
  </si>
  <si>
    <t xml:space="preserve"> 150  </t>
  </si>
  <si>
    <t xml:space="preserve"> 165  </t>
  </si>
  <si>
    <t xml:space="preserve"> 3.800  </t>
  </si>
  <si>
    <t xml:space="preserve"> 5.75  </t>
  </si>
  <si>
    <t xml:space="preserve"> 138  </t>
  </si>
  <si>
    <t xml:space="preserve"> 170  </t>
  </si>
  <si>
    <t xml:space="preserve"> 185  </t>
  </si>
  <si>
    <t xml:space="preserve"> 215  </t>
  </si>
  <si>
    <t xml:space="preserve"> 4.700  </t>
  </si>
  <si>
    <t xml:space="preserve"> 7.150  </t>
  </si>
  <si>
    <t xml:space="preserve"> 190  </t>
  </si>
  <si>
    <t xml:space="preserve"> 205  </t>
  </si>
  <si>
    <t xml:space="preserve"> 5.320  </t>
  </si>
  <si>
    <t xml:space="preserve"> 8.05  </t>
  </si>
  <si>
    <t xml:space="preserve"> 168  </t>
  </si>
  <si>
    <t xml:space="preserve"> 210  </t>
  </si>
  <si>
    <t xml:space="preserve"> 225  </t>
  </si>
  <si>
    <t xml:space="preserve"> 200  </t>
  </si>
  <si>
    <t xml:space="preserve"> 270  </t>
  </si>
  <si>
    <t xml:space="preserve"> 6.580  </t>
  </si>
  <si>
    <t xml:space="preserve"> 10.01  </t>
  </si>
  <si>
    <t xml:space="preserve"> 220  </t>
  </si>
  <si>
    <t xml:space="preserve"> 245  </t>
  </si>
  <si>
    <t xml:space="preserve"> 7.220  </t>
  </si>
  <si>
    <t xml:space="preserve"> 10.90  </t>
  </si>
  <si>
    <t xml:space="preserve"> 204  </t>
  </si>
  <si>
    <t xml:space="preserve"> 255  </t>
  </si>
  <si>
    <t xml:space="preserve"> 265  </t>
  </si>
  <si>
    <t xml:space="preserve"> 235  </t>
  </si>
  <si>
    <t xml:space="preserve"> 330  </t>
  </si>
  <si>
    <t xml:space="preserve"> 8.930  </t>
  </si>
  <si>
    <t xml:space="preserve"> 13.59  </t>
  </si>
  <si>
    <t xml:space="preserve"> 195  </t>
  </si>
  <si>
    <t xml:space="preserve"> 250  </t>
  </si>
  <si>
    <t xml:space="preserve"> 280  </t>
  </si>
  <si>
    <t xml:space="preserve"> 9.120  </t>
  </si>
  <si>
    <t xml:space="preserve"> 13.80  </t>
  </si>
  <si>
    <t xml:space="preserve"> 230  </t>
  </si>
  <si>
    <t xml:space="preserve"> 300  </t>
  </si>
  <si>
    <t xml:space="preserve"> 380  </t>
  </si>
  <si>
    <t xml:space="preserve"> 11.28  </t>
  </si>
  <si>
    <t xml:space="preserve"> 17.16  </t>
  </si>
  <si>
    <t xml:space="preserve">1cX150  </t>
  </si>
  <si>
    <t xml:space="preserve"> 320  </t>
  </si>
  <si>
    <t xml:space="preserve"> 11.40  </t>
  </si>
  <si>
    <t xml:space="preserve"> 17.30  </t>
  </si>
  <si>
    <t xml:space="preserve"> 342  </t>
  </si>
  <si>
    <t xml:space="preserve"> 335  </t>
  </si>
  <si>
    <t xml:space="preserve"> 430  </t>
  </si>
  <si>
    <t xml:space="preserve"> 14.10  </t>
  </si>
  <si>
    <t xml:space="preserve"> 21.45  </t>
  </si>
  <si>
    <t xml:space="preserve">1cX185  </t>
  </si>
  <si>
    <t xml:space="preserve"> 240  </t>
  </si>
  <si>
    <t xml:space="preserve"> 290  </t>
  </si>
  <si>
    <t xml:space="preserve"> 305  </t>
  </si>
  <si>
    <t xml:space="preserve"> 260  </t>
  </si>
  <si>
    <t xml:space="preserve"> 370  </t>
  </si>
  <si>
    <t xml:space="preserve"> 21.30  </t>
  </si>
  <si>
    <t xml:space="preserve"> 295  </t>
  </si>
  <si>
    <t xml:space="preserve"> 385  </t>
  </si>
  <si>
    <t xml:space="preserve"> 495  </t>
  </si>
  <si>
    <t xml:space="preserve"> 17.39  </t>
  </si>
  <si>
    <t xml:space="preserve"> 26.46  </t>
  </si>
  <si>
    <t xml:space="preserve">1cX240  </t>
  </si>
  <si>
    <t xml:space="preserve"> 345  </t>
  </si>
  <si>
    <t xml:space="preserve"> 285  </t>
  </si>
  <si>
    <t xml:space="preserve"> 425  </t>
  </si>
  <si>
    <t xml:space="preserve"> 18.20  </t>
  </si>
  <si>
    <t xml:space="preserve"> 27.30  </t>
  </si>
  <si>
    <t xml:space="preserve"> 340  </t>
  </si>
  <si>
    <t xml:space="preserve"> 450  </t>
  </si>
  <si>
    <t xml:space="preserve"> 435  </t>
  </si>
  <si>
    <t xml:space="preserve"> 590  </t>
  </si>
  <si>
    <t xml:space="preserve"> 22.56  </t>
  </si>
  <si>
    <t xml:space="preserve"> 34.32  </t>
  </si>
  <si>
    <t xml:space="preserve">1cX300  </t>
  </si>
  <si>
    <t xml:space="preserve"> 375  </t>
  </si>
  <si>
    <t xml:space="preserve"> 310  </t>
  </si>
  <si>
    <t xml:space="preserve"> 475  </t>
  </si>
  <si>
    <t xml:space="preserve"> 22.80  </t>
  </si>
  <si>
    <t xml:space="preserve"> 34.50  </t>
  </si>
  <si>
    <t xml:space="preserve"> 390  </t>
  </si>
  <si>
    <t xml:space="preserve"> 519  </t>
  </si>
  <si>
    <t xml:space="preserve"> 490  </t>
  </si>
  <si>
    <t xml:space="preserve"> 670  </t>
  </si>
  <si>
    <t xml:space="preserve"> 28.20  </t>
  </si>
  <si>
    <t xml:space="preserve"> 42.90  </t>
  </si>
  <si>
    <t xml:space="preserve">1cX400  </t>
  </si>
  <si>
    <t xml:space="preserve"> 325  </t>
  </si>
  <si>
    <t xml:space="preserve"> 275  </t>
  </si>
  <si>
    <t xml:space="preserve"> 400  </t>
  </si>
  <si>
    <t xml:space="preserve"> 550  </t>
  </si>
  <si>
    <t xml:space="preserve"> 30.40  </t>
  </si>
  <si>
    <t xml:space="preserve"> 46.00  </t>
  </si>
  <si>
    <t xml:space="preserve"> 605  </t>
  </si>
  <si>
    <t xml:space="preserve"> 480  </t>
  </si>
  <si>
    <t xml:space="preserve"> 780  </t>
  </si>
  <si>
    <t xml:space="preserve"> 37.60  </t>
  </si>
  <si>
    <t xml:space="preserve"> 57.20  </t>
  </si>
  <si>
    <t xml:space="preserve">1cX 500  </t>
  </si>
  <si>
    <t xml:space="preserve"> 355  </t>
  </si>
  <si>
    <t xml:space="preserve"> 38.00  </t>
  </si>
  <si>
    <t xml:space="preserve"> 57.50  </t>
  </si>
  <si>
    <t xml:space="preserve"> 500  </t>
  </si>
  <si>
    <t xml:space="preserve"> 700  </t>
  </si>
  <si>
    <t xml:space="preserve"> 610  </t>
  </si>
  <si>
    <t xml:space="preserve"> 530  </t>
  </si>
  <si>
    <t xml:space="preserve"> 900  </t>
  </si>
  <si>
    <t xml:space="preserve"> 47.00  </t>
  </si>
  <si>
    <t xml:space="preserve"> 71.50  </t>
  </si>
  <si>
    <t xml:space="preserve">1cX 630  </t>
  </si>
  <si>
    <t xml:space="preserve"> 470  </t>
  </si>
  <si>
    <t xml:space="preserve"> 660  </t>
  </si>
  <si>
    <t xml:space="preserve"> 47.90  </t>
  </si>
  <si>
    <t xml:space="preserve"> 72.50  </t>
  </si>
  <si>
    <t xml:space="preserve"> 555  </t>
  </si>
  <si>
    <t xml:space="preserve"> 485  </t>
  </si>
  <si>
    <t xml:space="preserve"> 809  </t>
  </si>
  <si>
    <t xml:space="preserve"> 680  </t>
  </si>
  <si>
    <t xml:space="preserve"> 1020  </t>
  </si>
  <si>
    <t xml:space="preserve"> 59.22  </t>
  </si>
  <si>
    <t xml:space="preserve"> 90.09  </t>
  </si>
  <si>
    <t xml:space="preserve">1cX800  </t>
  </si>
  <si>
    <t xml:space="preserve"> 725  </t>
  </si>
  <si>
    <t xml:space="preserve"> 60.80  </t>
  </si>
  <si>
    <t xml:space="preserve"> 92.00  </t>
  </si>
  <si>
    <t xml:space="preserve"> 625  </t>
  </si>
  <si>
    <t xml:space="preserve"> 935  </t>
  </si>
  <si>
    <t xml:space="preserve"> 740  </t>
  </si>
  <si>
    <t xml:space="preserve"> 630  </t>
  </si>
  <si>
    <t xml:space="preserve"> 1140  </t>
  </si>
  <si>
    <t xml:space="preserve"> 75.20  </t>
  </si>
  <si>
    <t xml:space="preserve"> 114.40  </t>
  </si>
  <si>
    <t xml:space="preserve">1cX1000  </t>
  </si>
  <si>
    <t xml:space="preserve"> 415  </t>
  </si>
  <si>
    <t xml:space="preserve"> 870  </t>
  </si>
  <si>
    <t xml:space="preserve"> 76.00  </t>
  </si>
  <si>
    <t xml:space="preserve"> 115.00  </t>
  </si>
  <si>
    <t xml:space="preserve"> 690  </t>
  </si>
  <si>
    <t xml:space="preserve"> 570  </t>
  </si>
  <si>
    <t xml:space="preserve"> 1065  </t>
  </si>
  <si>
    <t xml:space="preserve"> 1250  </t>
  </si>
  <si>
    <t xml:space="preserve"> 94.00  </t>
  </si>
  <si>
    <t xml:space="preserve"> 143.00  </t>
  </si>
  <si>
    <t xml:space="preserve"> 32  </t>
  </si>
  <si>
    <t xml:space="preserve"> 27  </t>
  </si>
  <si>
    <t xml:space="preserve"> 41  </t>
  </si>
  <si>
    <t xml:space="preserve"> 34  </t>
  </si>
  <si>
    <t xml:space="preserve"> 28  </t>
  </si>
  <si>
    <t xml:space="preserve"> 30  </t>
  </si>
  <si>
    <t xml:space="preserve"> 2cX 6  </t>
  </si>
  <si>
    <t xml:space="preserve"> 40  </t>
  </si>
  <si>
    <t xml:space="preserve"> 50  </t>
  </si>
  <si>
    <t xml:space="preserve"> 43  </t>
  </si>
  <si>
    <t xml:space="preserve"> 55  </t>
  </si>
  <si>
    <t xml:space="preserve">2cX10  </t>
  </si>
  <si>
    <t xml:space="preserve"> 70  </t>
  </si>
  <si>
    <t xml:space="preserve"> 58  </t>
  </si>
  <si>
    <t xml:space="preserve"> 53  </t>
  </si>
  <si>
    <t xml:space="preserve"> 74  </t>
  </si>
  <si>
    <t xml:space="preserve"> 67  </t>
  </si>
  <si>
    <t xml:space="preserve">2cX16  </t>
  </si>
  <si>
    <t xml:space="preserve"> 75  </t>
  </si>
  <si>
    <t xml:space="preserve"> 1.840  </t>
  </si>
  <si>
    <t xml:space="preserve"> 94  </t>
  </si>
  <si>
    <t xml:space="preserve"> 1.50  </t>
  </si>
  <si>
    <t xml:space="preserve"> 2.29  </t>
  </si>
  <si>
    <t xml:space="preserve">2cX25  </t>
  </si>
  <si>
    <t xml:space="preserve"> 76  </t>
  </si>
  <si>
    <t xml:space="preserve"> 97  </t>
  </si>
  <si>
    <t xml:space="preserve"> 2.880  </t>
  </si>
  <si>
    <t xml:space="preserve"> 95  </t>
  </si>
  <si>
    <t xml:space="preserve"> 2.35  </t>
  </si>
  <si>
    <t xml:space="preserve"> 3.58  </t>
  </si>
  <si>
    <t xml:space="preserve">2cX35  </t>
  </si>
  <si>
    <t xml:space="preserve"> 92  </t>
  </si>
  <si>
    <t xml:space="preserve"> 4.030  </t>
  </si>
  <si>
    <t xml:space="preserve"> 116  </t>
  </si>
  <si>
    <t xml:space="preserve"> 3.29  </t>
  </si>
  <si>
    <t xml:space="preserve"> 5.01  </t>
  </si>
  <si>
    <t xml:space="preserve">2cX50  </t>
  </si>
  <si>
    <t xml:space="preserve"> 5.750  </t>
  </si>
  <si>
    <t xml:space="preserve"> 4.70  </t>
  </si>
  <si>
    <t xml:space="preserve"> 7.15  </t>
  </si>
  <si>
    <t xml:space="preserve">2cX70  </t>
  </si>
  <si>
    <t xml:space="preserve"> 160  </t>
  </si>
  <si>
    <t xml:space="preserve"> 180  </t>
  </si>
  <si>
    <t xml:space="preserve"> 8.050  </t>
  </si>
  <si>
    <t xml:space="preserve"> 176  </t>
  </si>
  <si>
    <t xml:space="preserve"> 6.58  </t>
  </si>
  <si>
    <t xml:space="preserve">2cX95  </t>
  </si>
  <si>
    <t xml:space="preserve"> 221  </t>
  </si>
  <si>
    <t xml:space="preserve"> 8.93  </t>
  </si>
  <si>
    <t xml:space="preserve">2cX120  </t>
  </si>
  <si>
    <t xml:space="preserve"> 258  </t>
  </si>
  <si>
    <t xml:space="preserve">2cX150  </t>
  </si>
  <si>
    <t xml:space="preserve"> 17.300  </t>
  </si>
  <si>
    <t xml:space="preserve"> 294  </t>
  </si>
  <si>
    <t xml:space="preserve"> 315  </t>
  </si>
  <si>
    <t xml:space="preserve">2cX185  </t>
  </si>
  <si>
    <t xml:space="preserve"> 350  </t>
  </si>
  <si>
    <t xml:space="preserve"> 21.280  </t>
  </si>
  <si>
    <t xml:space="preserve"> 339  </t>
  </si>
  <si>
    <t xml:space="preserve">2cX240  </t>
  </si>
  <si>
    <t xml:space="preserve"> 405  </t>
  </si>
  <si>
    <t xml:space="preserve"> 410  </t>
  </si>
  <si>
    <t xml:space="preserve"> 27.600  </t>
  </si>
  <si>
    <t xml:space="preserve"> 402  </t>
  </si>
  <si>
    <t xml:space="preserve"> 510  </t>
  </si>
  <si>
    <t xml:space="preserve">2cX300  </t>
  </si>
  <si>
    <t xml:space="preserve"> 365  </t>
  </si>
  <si>
    <t xml:space="preserve"> 465  </t>
  </si>
  <si>
    <t xml:space="preserve"> 34.500  </t>
  </si>
  <si>
    <t xml:space="preserve"> 461  </t>
  </si>
  <si>
    <t xml:space="preserve"> 460  </t>
  </si>
  <si>
    <t xml:space="preserve">2cX400  </t>
  </si>
  <si>
    <t xml:space="preserve"> 420  </t>
  </si>
  <si>
    <t xml:space="preserve"> 46.000  </t>
  </si>
  <si>
    <t xml:space="preserve"> 542  </t>
  </si>
  <si>
    <t xml:space="preserve"> 520  </t>
  </si>
  <si>
    <t xml:space="preserve"> 440  </t>
  </si>
  <si>
    <t xml:space="preserve">2cX500  </t>
  </si>
  <si>
    <t xml:space="preserve"> 540  </t>
  </si>
  <si>
    <t xml:space="preserve"> 57.500  </t>
  </si>
  <si>
    <t xml:space="preserve"> 481  </t>
  </si>
  <si>
    <t xml:space="preserve"> 624  </t>
  </si>
  <si>
    <t xml:space="preserve"> 580  </t>
  </si>
  <si>
    <t xml:space="preserve"> 750  </t>
  </si>
  <si>
    <t xml:space="preserve">2cX630  </t>
  </si>
  <si>
    <t xml:space="preserve"> 640  </t>
  </si>
  <si>
    <t xml:space="preserve"> 785  </t>
  </si>
  <si>
    <t xml:space="preserve"> 72.550  </t>
  </si>
  <si>
    <t xml:space="preserve"> 537  </t>
  </si>
  <si>
    <t xml:space="preserve"> 723  </t>
  </si>
  <si>
    <t xml:space="preserve"> 575  </t>
  </si>
  <si>
    <t xml:space="preserve"> 875  </t>
  </si>
  <si>
    <t xml:space="preserve"> 23  </t>
  </si>
  <si>
    <t xml:space="preserve"> 36  </t>
  </si>
  <si>
    <t xml:space="preserve">3cX 6  </t>
  </si>
  <si>
    <t xml:space="preserve">3cX 10  </t>
  </si>
  <si>
    <t xml:space="preserve"> 46  </t>
  </si>
  <si>
    <t xml:space="preserve"> 52  </t>
  </si>
  <si>
    <t xml:space="preserve">3cX 16  </t>
  </si>
  <si>
    <t xml:space="preserve">3cX 25  </t>
  </si>
  <si>
    <t xml:space="preserve"> 63  </t>
  </si>
  <si>
    <t xml:space="preserve">3cX 35  </t>
  </si>
  <si>
    <t xml:space="preserve">3cX 50  </t>
  </si>
  <si>
    <t xml:space="preserve">3cX 70  </t>
  </si>
  <si>
    <t xml:space="preserve">3cX 95  </t>
  </si>
  <si>
    <t xml:space="preserve"> 10.900  </t>
  </si>
  <si>
    <t xml:space="preserve">3cX 120  </t>
  </si>
  <si>
    <t xml:space="preserve"> 13.800  </t>
  </si>
  <si>
    <t xml:space="preserve">3cX 150  </t>
  </si>
  <si>
    <t xml:space="preserve">3cX 185  </t>
  </si>
  <si>
    <t xml:space="preserve"> 21.300  </t>
  </si>
  <si>
    <t xml:space="preserve">3cX 240  </t>
  </si>
  <si>
    <t xml:space="preserve">3cX 300  </t>
  </si>
  <si>
    <t xml:space="preserve">3cX 400  </t>
  </si>
  <si>
    <t xml:space="preserve"> 360  </t>
  </si>
  <si>
    <t xml:space="preserve">3cX 500  </t>
  </si>
  <si>
    <t xml:space="preserve">3cX 630  </t>
  </si>
  <si>
    <t xml:space="preserve"> 675  </t>
  </si>
  <si>
    <t xml:space="preserve"> 72.500  </t>
  </si>
  <si>
    <t xml:space="preserve"> 3.5X16</t>
  </si>
  <si>
    <t xml:space="preserve"> 3.5X25</t>
  </si>
  <si>
    <t xml:space="preserve"> 1.90  </t>
  </si>
  <si>
    <t xml:space="preserve"> 3.5X35</t>
  </si>
  <si>
    <t xml:space="preserve"> 2.66  </t>
  </si>
  <si>
    <t xml:space="preserve"> 3.5X50</t>
  </si>
  <si>
    <t xml:space="preserve"> 3.80  </t>
  </si>
  <si>
    <t xml:space="preserve"> 3.5X70</t>
  </si>
  <si>
    <t xml:space="preserve"> 5.32  </t>
  </si>
  <si>
    <t xml:space="preserve"> 3.5X95</t>
  </si>
  <si>
    <t xml:space="preserve"> 7.22  </t>
  </si>
  <si>
    <t xml:space="preserve"> 3.5X120</t>
  </si>
  <si>
    <t xml:space="preserve"> 9.12  </t>
  </si>
  <si>
    <t xml:space="preserve"> 3.5X150</t>
  </si>
  <si>
    <t xml:space="preserve"> 3.5X185</t>
  </si>
  <si>
    <t xml:space="preserve"> 3.5X240</t>
  </si>
  <si>
    <t xml:space="preserve"> 27.60  </t>
  </si>
  <si>
    <t xml:space="preserve"> 3.5X300</t>
  </si>
  <si>
    <t xml:space="preserve"> 3.5X400</t>
  </si>
  <si>
    <t xml:space="preserve"> 3.5X500</t>
  </si>
  <si>
    <t xml:space="preserve"> 3.5X630</t>
  </si>
  <si>
    <t>4cX 1.5</t>
  </si>
  <si>
    <t>4cX 2.5</t>
  </si>
  <si>
    <t xml:space="preserve">4cX4  </t>
  </si>
  <si>
    <t xml:space="preserve">4cX 6  </t>
  </si>
  <si>
    <t xml:space="preserve">4cX 10  </t>
  </si>
  <si>
    <t xml:space="preserve">4cX16  </t>
  </si>
  <si>
    <t xml:space="preserve">4cX 25  </t>
  </si>
  <si>
    <t xml:space="preserve">4cX35  </t>
  </si>
  <si>
    <t xml:space="preserve">4cX 50  </t>
  </si>
  <si>
    <t xml:space="preserve">4cX70  </t>
  </si>
  <si>
    <t xml:space="preserve">4cX 95  </t>
  </si>
  <si>
    <t xml:space="preserve">4cX 120  </t>
  </si>
  <si>
    <t xml:space="preserve">4cX 150  </t>
  </si>
  <si>
    <t xml:space="preserve"> 11.400  </t>
  </si>
  <si>
    <t xml:space="preserve">4cX 185  </t>
  </si>
  <si>
    <t xml:space="preserve"> 14.100  </t>
  </si>
  <si>
    <t xml:space="preserve">4cX 240  </t>
  </si>
  <si>
    <t xml:space="preserve"> 18.200  </t>
  </si>
  <si>
    <t xml:space="preserve">4cX 300  </t>
  </si>
  <si>
    <t xml:space="preserve"> 22.800  </t>
  </si>
  <si>
    <t xml:space="preserve">4cX 400  </t>
  </si>
  <si>
    <t xml:space="preserve"> 30.400  </t>
  </si>
  <si>
    <t xml:space="preserve">4cX 500  </t>
  </si>
  <si>
    <t xml:space="preserve"> 38.000  </t>
  </si>
  <si>
    <t xml:space="preserve">4cX 630  </t>
  </si>
  <si>
    <t xml:space="preserve"> 47.900  </t>
  </si>
  <si>
    <t xml:space="preserve"> 5.00  </t>
  </si>
  <si>
    <t xml:space="preserve"> 395  </t>
  </si>
  <si>
    <t xml:space="preserve"> 600  </t>
  </si>
  <si>
    <t xml:space="preserve"> 0.57  </t>
  </si>
  <si>
    <t xml:space="preserve"> 790  </t>
  </si>
  <si>
    <t xml:space="preserve"> 0.60  </t>
  </si>
  <si>
    <t xml:space="preserve"> 730  </t>
  </si>
  <si>
    <t xml:space="preserve"> 910  </t>
  </si>
  <si>
    <t xml:space="preserve"> 0.67  </t>
  </si>
  <si>
    <t xml:space="preserve"> 560  </t>
  </si>
  <si>
    <t xml:space="preserve"> 840  </t>
  </si>
  <si>
    <t xml:space="preserve"> 1030  </t>
  </si>
  <si>
    <t xml:space="preserve"> 0.76  </t>
  </si>
  <si>
    <t xml:space="preserve"> 620  </t>
  </si>
  <si>
    <t xml:space="preserve"> 960  </t>
  </si>
  <si>
    <t xml:space="preserve"> 0.82  </t>
  </si>
  <si>
    <t xml:space="preserve"> 1070  </t>
  </si>
  <si>
    <t xml:space="preserve"> 445  </t>
  </si>
  <si>
    <t xml:space="preserve"> 650  </t>
  </si>
  <si>
    <t xml:space="preserve"> 90.10  </t>
  </si>
  <si>
    <t xml:space="preserve">1cX 95  </t>
  </si>
  <si>
    <t xml:space="preserve">1cX120  </t>
  </si>
  <si>
    <t>Rating Factor</t>
  </si>
  <si>
    <t>Laying Depth(mt)</t>
  </si>
  <si>
    <t>Depth Facator (K5)</t>
  </si>
  <si>
    <r>
      <t>Y-</t>
    </r>
    <r>
      <rPr>
        <sz val="9"/>
        <color indexed="9"/>
        <rFont val="Calibri"/>
        <family val="2"/>
      </rPr>
      <t>D</t>
    </r>
  </si>
  <si>
    <t xml:space="preserve">Cable Details </t>
  </si>
  <si>
    <t>Temperature Corrrection Factor:K1</t>
  </si>
  <si>
    <t>Soil Thermal Resistivity: 2.5 KM/W</t>
  </si>
  <si>
    <t>Ground Cable Dist Correction Factor(K4)</t>
  </si>
  <si>
    <t>Temp</t>
  </si>
  <si>
    <t>Soil Corrrection Factor:K3</t>
  </si>
  <si>
    <t>Ther.Resi Corrrection Factor:K3</t>
  </si>
  <si>
    <t>(Cable Grouping factor)==No of Tray</t>
  </si>
  <si>
    <t xml:space="preserve"> (Temperature Derating factor)</t>
  </si>
  <si>
    <t>Cable Derating Factors</t>
  </si>
  <si>
    <t xml:space="preserve">No of Runs of Cable </t>
  </si>
  <si>
    <t>Selection of Cable</t>
  </si>
  <si>
    <t>Voltage Drop</t>
  </si>
  <si>
    <t>Cable Short Circuit Capacity</t>
  </si>
  <si>
    <t>:CALCULATION:</t>
  </si>
  <si>
    <t>:INPUT DATA SHEET:</t>
  </si>
  <si>
    <t>:RESULTS:</t>
  </si>
  <si>
    <t>jignesh.parmar www.electricalnotes.wordpress.com jiguparmar@yahoo.com</t>
  </si>
  <si>
    <t>CU</t>
  </si>
</sst>
</file>

<file path=xl/styles.xml><?xml version="1.0" encoding="utf-8"?>
<styleSheet xmlns="http://schemas.openxmlformats.org/spreadsheetml/2006/main">
  <numFmts count="5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00000"/>
    <numFmt numFmtId="179" formatCode="0.0000E+00"/>
    <numFmt numFmtId="180" formatCode="0.000E+00"/>
    <numFmt numFmtId="181" formatCode="0.0E+00"/>
    <numFmt numFmtId="182" formatCode="0E+00"/>
    <numFmt numFmtId="183" formatCode="0.00000E+00"/>
    <numFmt numFmtId="184" formatCode="0.000000E+00"/>
    <numFmt numFmtId="185" formatCode="0.0000000E+00"/>
    <numFmt numFmtId="186" formatCode="0.00000000E+00"/>
    <numFmt numFmtId="187" formatCode="0.000000000E+00"/>
    <numFmt numFmtId="188" formatCode="0.0000000000E+00"/>
    <numFmt numFmtId="189" formatCode="0.00000000000E+00"/>
    <numFmt numFmtId="190" formatCode="0.000000000000E+00"/>
    <numFmt numFmtId="191" formatCode="0.0000000000000E+00"/>
    <numFmt numFmtId="192" formatCode="0.00000000000000E+00"/>
    <numFmt numFmtId="193" formatCode="0.000000000000000E+00"/>
    <numFmt numFmtId="194" formatCode="0.0000000000000000E+00"/>
    <numFmt numFmtId="195" formatCode="0.00000000000000000E+00"/>
    <numFmt numFmtId="196" formatCode="0.000000000000000000E+00"/>
    <numFmt numFmtId="197" formatCode="0.0000000000000000000E+00"/>
    <numFmt numFmtId="198" formatCode="0.00000000000000000000E+00"/>
    <numFmt numFmtId="199" formatCode="0.000000000000000000000E+00"/>
    <numFmt numFmtId="200" formatCode="0.0000000000000000000000E+00"/>
    <numFmt numFmtId="201" formatCode="0.00000000000000000000000E+00"/>
    <numFmt numFmtId="202" formatCode="0.000000000000000000000000E+00"/>
    <numFmt numFmtId="203" formatCode="0.0000000000000000000000000E+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000000"/>
    <numFmt numFmtId="209" formatCode="0.0000000000"/>
    <numFmt numFmtId="210" formatCode="0.00000000000"/>
    <numFmt numFmtId="211" formatCode="0.000000000000"/>
    <numFmt numFmtId="212" formatCode="0.0000000000000"/>
    <numFmt numFmtId="213" formatCode="[$-409]dddd\,\ mmmm\ dd\,\ yyyy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9"/>
      <name val="Calibri"/>
      <family val="2"/>
    </font>
    <font>
      <sz val="8"/>
      <name val="Arial"/>
      <family val="2"/>
    </font>
    <font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indexed="44"/>
      <name val="Arial"/>
      <family val="2"/>
    </font>
    <font>
      <sz val="9"/>
      <color indexed="9"/>
      <name val="Arial"/>
      <family val="2"/>
    </font>
    <font>
      <sz val="9"/>
      <color indexed="36"/>
      <name val="Arial"/>
      <family val="2"/>
    </font>
    <font>
      <b/>
      <sz val="12"/>
      <color indexed="8"/>
      <name val="Arial"/>
      <family val="2"/>
    </font>
    <font>
      <sz val="18"/>
      <color indexed="8"/>
      <name val="Algerian"/>
      <family val="5"/>
    </font>
    <font>
      <sz val="9"/>
      <color indexed="43"/>
      <name val="Arial"/>
      <family val="2"/>
    </font>
    <font>
      <b/>
      <sz val="9"/>
      <color indexed="10"/>
      <name val="Arial"/>
      <family val="2"/>
    </font>
    <font>
      <b/>
      <sz val="18"/>
      <color indexed="9"/>
      <name val="Adani Bold"/>
      <family val="0"/>
    </font>
    <font>
      <b/>
      <sz val="9"/>
      <color indexed="60"/>
      <name val="Arial"/>
      <family val="2"/>
    </font>
    <font>
      <b/>
      <sz val="14"/>
      <color indexed="9"/>
      <name val="Arial"/>
      <family val="2"/>
    </font>
    <font>
      <b/>
      <sz val="16"/>
      <color indexed="8"/>
      <name val="Aharoni"/>
      <family val="0"/>
    </font>
    <font>
      <b/>
      <sz val="10"/>
      <color indexed="9"/>
      <name val="Arial"/>
      <family val="2"/>
    </font>
    <font>
      <sz val="18"/>
      <color indexed="9"/>
      <name val="Algerian"/>
      <family val="5"/>
    </font>
    <font>
      <sz val="16"/>
      <color indexed="8"/>
      <name val="Algerian"/>
      <family val="5"/>
    </font>
    <font>
      <b/>
      <sz val="9"/>
      <color indexed="9"/>
      <name val="Arial"/>
      <family val="2"/>
    </font>
    <font>
      <b/>
      <sz val="8"/>
      <color indexed="16"/>
      <name val="Arial"/>
      <family val="2"/>
    </font>
    <font>
      <b/>
      <sz val="1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4" tint="0.5999900102615356"/>
      <name val="Arial"/>
      <family val="2"/>
    </font>
    <font>
      <sz val="9"/>
      <color theme="0"/>
      <name val="Arial"/>
      <family val="2"/>
    </font>
    <font>
      <sz val="9"/>
      <color theme="7" tint="0.39998000860214233"/>
      <name val="Arial"/>
      <family val="2"/>
    </font>
    <font>
      <b/>
      <sz val="12"/>
      <color theme="1"/>
      <name val="Arial"/>
      <family val="2"/>
    </font>
    <font>
      <sz val="18"/>
      <color theme="1"/>
      <name val="Algerian"/>
      <family val="5"/>
    </font>
    <font>
      <sz val="9"/>
      <color theme="2" tint="-0.24997000396251678"/>
      <name val="Arial"/>
      <family val="2"/>
    </font>
    <font>
      <b/>
      <sz val="9"/>
      <color rgb="FFFF0000"/>
      <name val="Arial"/>
      <family val="2"/>
    </font>
    <font>
      <b/>
      <sz val="18"/>
      <color theme="0"/>
      <name val="Adani Bold"/>
      <family val="0"/>
    </font>
    <font>
      <b/>
      <sz val="9"/>
      <color rgb="FFC00000"/>
      <name val="Arial"/>
      <family val="2"/>
    </font>
    <font>
      <b/>
      <sz val="16"/>
      <color theme="1"/>
      <name val="Aharoni"/>
      <family val="0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8"/>
      <color theme="0"/>
      <name val="Algerian"/>
      <family val="5"/>
    </font>
    <font>
      <b/>
      <sz val="9"/>
      <color theme="0"/>
      <name val="Arial"/>
      <family val="2"/>
    </font>
    <font>
      <sz val="16"/>
      <color theme="1"/>
      <name val="Algerian"/>
      <family val="5"/>
    </font>
    <font>
      <b/>
      <sz val="8"/>
      <color theme="5" tint="-0.4999699890613556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4999699890613556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>
        <color theme="5" tint="-0.4999699890613556"/>
      </right>
      <top style="double">
        <color theme="5" tint="-0.4999699890613556"/>
      </top>
      <bottom>
        <color indexed="63"/>
      </bottom>
    </border>
    <border>
      <left style="double">
        <color theme="5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5" tint="-0.4999699890613556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theme="5" tint="-0.4999699890613556"/>
      </right>
      <top>
        <color indexed="63"/>
      </top>
      <bottom style="double">
        <color theme="5" tint="-0.4999699890613556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>
        <color theme="5" tint="-0.4999699890613556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theme="5" tint="-0.4999699890613556"/>
      </left>
      <right>
        <color indexed="63"/>
      </right>
      <top>
        <color indexed="63"/>
      </top>
      <bottom style="double">
        <color theme="5" tint="-0.4999699890613556"/>
      </bottom>
    </border>
    <border>
      <left style="double">
        <color theme="5" tint="-0.4999699890613556"/>
      </left>
      <right>
        <color indexed="63"/>
      </right>
      <top style="double">
        <color theme="5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5" tint="-0.4999699890613556"/>
      </bottom>
    </border>
    <border>
      <left style="double">
        <color theme="5" tint="-0.24993999302387238"/>
      </left>
      <right>
        <color indexed="63"/>
      </right>
      <top style="double">
        <color theme="5" tint="-0.24993999302387238"/>
      </top>
      <bottom>
        <color indexed="63"/>
      </bottom>
    </border>
    <border>
      <left>
        <color indexed="63"/>
      </left>
      <right style="double">
        <color theme="5" tint="-0.24993999302387238"/>
      </right>
      <top style="double">
        <color theme="5" tint="-0.24993999302387238"/>
      </top>
      <bottom>
        <color indexed="63"/>
      </bottom>
    </border>
    <border>
      <left>
        <color indexed="63"/>
      </left>
      <right style="double">
        <color theme="5" tint="-0.24993999302387238"/>
      </right>
      <top>
        <color indexed="63"/>
      </top>
      <bottom>
        <color indexed="63"/>
      </bottom>
    </border>
    <border>
      <left style="double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double">
        <color theme="5" tint="-0.24993999302387238"/>
      </left>
      <right>
        <color indexed="63"/>
      </right>
      <top>
        <color indexed="63"/>
      </top>
      <bottom style="double">
        <color theme="5" tint="-0.24993999302387238"/>
      </bottom>
    </border>
    <border>
      <left>
        <color indexed="63"/>
      </left>
      <right style="double">
        <color theme="5" tint="-0.24993999302387238"/>
      </right>
      <top>
        <color indexed="63"/>
      </top>
      <bottom style="double">
        <color theme="5" tint="-0.24993999302387238"/>
      </bottom>
    </border>
    <border>
      <left>
        <color indexed="63"/>
      </left>
      <right>
        <color indexed="63"/>
      </right>
      <top style="double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5" tint="-0.24993999302387238"/>
      </bottom>
    </border>
    <border>
      <left style="double">
        <color theme="0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>
        <color indexed="63"/>
      </right>
      <top style="double">
        <color theme="0"/>
      </top>
      <bottom>
        <color indexed="63"/>
      </bottom>
    </border>
    <border>
      <left>
        <color indexed="63"/>
      </left>
      <right style="double">
        <color theme="0"/>
      </right>
      <top style="double">
        <color theme="0"/>
      </top>
      <bottom>
        <color indexed="63"/>
      </bottom>
    </border>
    <border>
      <left style="double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0"/>
      </right>
      <top>
        <color indexed="63"/>
      </top>
      <bottom>
        <color indexed="63"/>
      </bottom>
    </border>
    <border>
      <left style="double">
        <color theme="0"/>
      </left>
      <right>
        <color indexed="63"/>
      </right>
      <top>
        <color indexed="63"/>
      </top>
      <bottom style="double">
        <color theme="0"/>
      </bottom>
    </border>
    <border>
      <left>
        <color indexed="63"/>
      </left>
      <right style="double">
        <color theme="0"/>
      </right>
      <top>
        <color indexed="63"/>
      </top>
      <bottom style="double">
        <color theme="0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08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1" fillId="33" borderId="0" xfId="0" applyFont="1" applyFill="1" applyAlignment="1">
      <alignment/>
    </xf>
    <xf numFmtId="0" fontId="72" fillId="33" borderId="0" xfId="0" applyFont="1" applyFill="1" applyAlignment="1">
      <alignment/>
    </xf>
    <xf numFmtId="0" fontId="72" fillId="33" borderId="0" xfId="0" applyFont="1" applyFill="1" applyAlignment="1">
      <alignment horizontal="left"/>
    </xf>
    <xf numFmtId="0" fontId="72" fillId="33" borderId="0" xfId="0" applyFont="1" applyFill="1" applyAlignment="1">
      <alignment horizontal="center"/>
    </xf>
    <xf numFmtId="0" fontId="72" fillId="0" borderId="0" xfId="0" applyFont="1" applyAlignment="1">
      <alignment horizontal="center"/>
    </xf>
    <xf numFmtId="0" fontId="71" fillId="8" borderId="0" xfId="0" applyFont="1" applyFill="1" applyBorder="1" applyAlignment="1">
      <alignment horizontal="center"/>
    </xf>
    <xf numFmtId="2" fontId="72" fillId="8" borderId="0" xfId="0" applyNumberFormat="1" applyFont="1" applyFill="1" applyBorder="1" applyAlignment="1">
      <alignment horizontal="center"/>
    </xf>
    <xf numFmtId="1" fontId="72" fillId="8" borderId="0" xfId="0" applyNumberFormat="1" applyFont="1" applyFill="1" applyBorder="1" applyAlignment="1">
      <alignment horizontal="center"/>
    </xf>
    <xf numFmtId="0" fontId="72" fillId="33" borderId="0" xfId="0" applyFont="1" applyFill="1" applyAlignment="1">
      <alignment horizontal="left"/>
    </xf>
    <xf numFmtId="0" fontId="72" fillId="33" borderId="10" xfId="0" applyFont="1" applyFill="1" applyBorder="1" applyAlignment="1" applyProtection="1">
      <alignment horizontal="center"/>
      <protection locked="0"/>
    </xf>
    <xf numFmtId="2" fontId="72" fillId="33" borderId="10" xfId="0" applyNumberFormat="1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73" fillId="34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74" fillId="8" borderId="11" xfId="0" applyFont="1" applyFill="1" applyBorder="1" applyAlignment="1">
      <alignment/>
    </xf>
    <xf numFmtId="0" fontId="74" fillId="8" borderId="12" xfId="0" applyFont="1" applyFill="1" applyBorder="1" applyAlignment="1" applyProtection="1">
      <alignment/>
      <protection locked="0"/>
    </xf>
    <xf numFmtId="0" fontId="75" fillId="8" borderId="13" xfId="0" applyFont="1" applyFill="1" applyBorder="1" applyAlignment="1">
      <alignment vertical="center"/>
    </xf>
    <xf numFmtId="0" fontId="72" fillId="8" borderId="14" xfId="0" applyFont="1" applyFill="1" applyBorder="1" applyAlignment="1">
      <alignment/>
    </xf>
    <xf numFmtId="0" fontId="71" fillId="8" borderId="0" xfId="0" applyFont="1" applyFill="1" applyBorder="1" applyAlignment="1">
      <alignment/>
    </xf>
    <xf numFmtId="0" fontId="72" fillId="8" borderId="0" xfId="0" applyFont="1" applyFill="1" applyBorder="1" applyAlignment="1">
      <alignment horizontal="left"/>
    </xf>
    <xf numFmtId="0" fontId="72" fillId="8" borderId="15" xfId="0" applyFont="1" applyFill="1" applyBorder="1" applyAlignment="1">
      <alignment horizontal="left"/>
    </xf>
    <xf numFmtId="0" fontId="74" fillId="8" borderId="0" xfId="0" applyFont="1" applyFill="1" applyBorder="1" applyAlignment="1">
      <alignment/>
    </xf>
    <xf numFmtId="0" fontId="74" fillId="8" borderId="0" xfId="0" applyFont="1" applyFill="1" applyBorder="1" applyAlignment="1">
      <alignment horizontal="center"/>
    </xf>
    <xf numFmtId="0" fontId="72" fillId="8" borderId="15" xfId="0" applyFont="1" applyFill="1" applyBorder="1" applyAlignment="1">
      <alignment horizontal="center"/>
    </xf>
    <xf numFmtId="2" fontId="72" fillId="8" borderId="15" xfId="0" applyNumberFormat="1" applyFont="1" applyFill="1" applyBorder="1" applyAlignment="1">
      <alignment horizontal="left"/>
    </xf>
    <xf numFmtId="0" fontId="4" fillId="8" borderId="14" xfId="0" applyFont="1" applyFill="1" applyBorder="1" applyAlignment="1">
      <alignment/>
    </xf>
    <xf numFmtId="2" fontId="76" fillId="8" borderId="0" xfId="0" applyNumberFormat="1" applyFont="1" applyFill="1" applyBorder="1" applyAlignment="1">
      <alignment horizontal="center"/>
    </xf>
    <xf numFmtId="172" fontId="72" fillId="8" borderId="0" xfId="0" applyNumberFormat="1" applyFont="1" applyFill="1" applyBorder="1" applyAlignment="1">
      <alignment horizontal="center"/>
    </xf>
    <xf numFmtId="0" fontId="72" fillId="8" borderId="16" xfId="0" applyFont="1" applyFill="1" applyBorder="1" applyAlignment="1">
      <alignment horizontal="left"/>
    </xf>
    <xf numFmtId="0" fontId="72" fillId="8" borderId="17" xfId="0" applyFont="1" applyFill="1" applyBorder="1" applyAlignment="1">
      <alignment/>
    </xf>
    <xf numFmtId="0" fontId="72" fillId="8" borderId="18" xfId="0" applyFont="1" applyFill="1" applyBorder="1" applyAlignment="1">
      <alignment horizontal="left"/>
    </xf>
    <xf numFmtId="0" fontId="71" fillId="8" borderId="18" xfId="0" applyFont="1" applyFill="1" applyBorder="1" applyAlignment="1">
      <alignment horizontal="left"/>
    </xf>
    <xf numFmtId="2" fontId="71" fillId="8" borderId="18" xfId="0" applyNumberFormat="1" applyFont="1" applyFill="1" applyBorder="1" applyAlignment="1">
      <alignment horizontal="left"/>
    </xf>
    <xf numFmtId="0" fontId="4" fillId="34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2" fontId="3" fillId="33" borderId="0" xfId="0" applyNumberFormat="1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72" fillId="8" borderId="0" xfId="0" applyFont="1" applyFill="1" applyBorder="1" applyAlignment="1">
      <alignment horizontal="center"/>
    </xf>
    <xf numFmtId="1" fontId="72" fillId="33" borderId="10" xfId="0" applyNumberFormat="1" applyFont="1" applyFill="1" applyBorder="1" applyAlignment="1" applyProtection="1">
      <alignment horizontal="center"/>
      <protection locked="0"/>
    </xf>
    <xf numFmtId="0" fontId="77" fillId="8" borderId="0" xfId="0" applyFont="1" applyFill="1" applyBorder="1" applyAlignment="1">
      <alignment horizontal="center"/>
    </xf>
    <xf numFmtId="173" fontId="4" fillId="34" borderId="0" xfId="0" applyNumberFormat="1" applyFont="1" applyFill="1" applyAlignment="1">
      <alignment horizontal="left"/>
    </xf>
    <xf numFmtId="173" fontId="4" fillId="34" borderId="0" xfId="0" applyNumberFormat="1" applyFont="1" applyFill="1" applyAlignment="1">
      <alignment horizontal="center"/>
    </xf>
    <xf numFmtId="0" fontId="72" fillId="33" borderId="19" xfId="0" applyFont="1" applyFill="1" applyBorder="1" applyAlignment="1" applyProtection="1">
      <alignment horizontal="center"/>
      <protection locked="0"/>
    </xf>
    <xf numFmtId="0" fontId="72" fillId="33" borderId="10" xfId="0" applyFont="1" applyFill="1" applyBorder="1" applyAlignment="1" applyProtection="1">
      <alignment horizontal="left"/>
      <protection locked="0"/>
    </xf>
    <xf numFmtId="0" fontId="4" fillId="8" borderId="20" xfId="0" applyFont="1" applyFill="1" applyBorder="1" applyAlignment="1">
      <alignment/>
    </xf>
    <xf numFmtId="0" fontId="4" fillId="8" borderId="21" xfId="0" applyFont="1" applyFill="1" applyBorder="1" applyAlignment="1">
      <alignment/>
    </xf>
    <xf numFmtId="0" fontId="72" fillId="8" borderId="21" xfId="0" applyFont="1" applyFill="1" applyBorder="1" applyAlignment="1">
      <alignment horizontal="center"/>
    </xf>
    <xf numFmtId="0" fontId="72" fillId="8" borderId="21" xfId="0" applyFont="1" applyFill="1" applyBorder="1" applyAlignment="1">
      <alignment horizontal="left"/>
    </xf>
    <xf numFmtId="0" fontId="72" fillId="8" borderId="22" xfId="0" applyFont="1" applyFill="1" applyBorder="1" applyAlignment="1">
      <alignment horizontal="left"/>
    </xf>
    <xf numFmtId="0" fontId="72" fillId="8" borderId="23" xfId="0" applyFont="1" applyFill="1" applyBorder="1" applyAlignment="1">
      <alignment horizontal="left"/>
    </xf>
    <xf numFmtId="0" fontId="72" fillId="33" borderId="24" xfId="0" applyFont="1" applyFill="1" applyBorder="1" applyAlignment="1" applyProtection="1">
      <alignment horizontal="center"/>
      <protection locked="0"/>
    </xf>
    <xf numFmtId="2" fontId="74" fillId="8" borderId="25" xfId="0" applyNumberFormat="1" applyFont="1" applyFill="1" applyBorder="1" applyAlignment="1">
      <alignment horizontal="center" vertical="center"/>
    </xf>
    <xf numFmtId="0" fontId="4" fillId="8" borderId="0" xfId="0" applyFont="1" applyFill="1" applyBorder="1" applyAlignment="1">
      <alignment/>
    </xf>
    <xf numFmtId="2" fontId="78" fillId="8" borderId="18" xfId="0" applyNumberFormat="1" applyFont="1" applyFill="1" applyBorder="1" applyAlignment="1">
      <alignment horizontal="center"/>
    </xf>
    <xf numFmtId="0" fontId="73" fillId="0" borderId="0" xfId="0" applyFont="1" applyAlignment="1">
      <alignment/>
    </xf>
    <xf numFmtId="0" fontId="79" fillId="0" borderId="0" xfId="0" applyFont="1" applyAlignment="1">
      <alignment/>
    </xf>
    <xf numFmtId="0" fontId="73" fillId="33" borderId="0" xfId="0" applyFont="1" applyFill="1" applyAlignment="1">
      <alignment/>
    </xf>
    <xf numFmtId="0" fontId="79" fillId="33" borderId="0" xfId="0" applyFont="1" applyFill="1" applyAlignment="1">
      <alignment/>
    </xf>
    <xf numFmtId="0" fontId="79" fillId="33" borderId="0" xfId="0" applyFont="1" applyFill="1" applyAlignment="1">
      <alignment horizontal="left"/>
    </xf>
    <xf numFmtId="0" fontId="79" fillId="33" borderId="10" xfId="0" applyFont="1" applyFill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/>
      <protection/>
    </xf>
    <xf numFmtId="0" fontId="10" fillId="0" borderId="29" xfId="0" applyFont="1" applyBorder="1" applyAlignment="1">
      <alignment horizontal="left"/>
    </xf>
    <xf numFmtId="0" fontId="10" fillId="0" borderId="30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/>
      <protection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33" borderId="0" xfId="0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35" borderId="0" xfId="0" applyNumberFormat="1" applyFont="1" applyFill="1" applyBorder="1" applyAlignment="1" applyProtection="1">
      <alignment horizontal="center"/>
      <protection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 vertical="top" wrapText="1"/>
    </xf>
    <xf numFmtId="0" fontId="71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>
      <alignment horizontal="center" vertical="top" wrapText="1"/>
    </xf>
    <xf numFmtId="172" fontId="10" fillId="33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 applyProtection="1">
      <alignment horizontal="center" vertical="top" wrapText="1"/>
      <protection locked="0"/>
    </xf>
    <xf numFmtId="0" fontId="10" fillId="0" borderId="10" xfId="0" applyNumberFormat="1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33" borderId="10" xfId="0" applyNumberFormat="1" applyFont="1" applyFill="1" applyBorder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76" fillId="8" borderId="0" xfId="0" applyFont="1" applyFill="1" applyBorder="1" applyAlignment="1">
      <alignment horizontal="center"/>
    </xf>
    <xf numFmtId="0" fontId="76" fillId="8" borderId="18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/>
      <protection/>
    </xf>
    <xf numFmtId="0" fontId="71" fillId="0" borderId="0" xfId="0" applyFont="1" applyAlignment="1" applyProtection="1">
      <alignment horizontal="center" vertical="center"/>
      <protection/>
    </xf>
    <xf numFmtId="0" fontId="10" fillId="0" borderId="3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10" fillId="33" borderId="39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35" xfId="0" applyFont="1" applyFill="1" applyBorder="1" applyAlignment="1" applyProtection="1">
      <alignment horizontal="center"/>
      <protection/>
    </xf>
    <xf numFmtId="0" fontId="10" fillId="0" borderId="33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 applyProtection="1">
      <alignment horizontal="center"/>
      <protection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76" fillId="8" borderId="17" xfId="0" applyFont="1" applyFill="1" applyBorder="1" applyAlignment="1">
      <alignment/>
    </xf>
    <xf numFmtId="0" fontId="8" fillId="15" borderId="10" xfId="0" applyFont="1" applyFill="1" applyBorder="1" applyAlignment="1">
      <alignment horizontal="center" vertical="center" wrapText="1"/>
    </xf>
    <xf numFmtId="0" fontId="8" fillId="15" borderId="10" xfId="0" applyFont="1" applyFill="1" applyBorder="1" applyAlignment="1">
      <alignment horizontal="center" vertical="top" wrapText="1"/>
    </xf>
    <xf numFmtId="0" fontId="8" fillId="15" borderId="10" xfId="0" applyFont="1" applyFill="1" applyBorder="1" applyAlignment="1">
      <alignment horizontal="center"/>
    </xf>
    <xf numFmtId="0" fontId="8" fillId="15" borderId="10" xfId="0" applyNumberFormat="1" applyFont="1" applyFill="1" applyBorder="1" applyAlignment="1" applyProtection="1">
      <alignment horizontal="center"/>
      <protection/>
    </xf>
    <xf numFmtId="0" fontId="8" fillId="15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horizontal="center"/>
      <protection locked="0"/>
    </xf>
    <xf numFmtId="0" fontId="10" fillId="0" borderId="34" xfId="0" applyNumberFormat="1" applyFont="1" applyFill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center"/>
      <protection locked="0"/>
    </xf>
    <xf numFmtId="0" fontId="10" fillId="36" borderId="27" xfId="0" applyFont="1" applyFill="1" applyBorder="1" applyAlignment="1">
      <alignment horizontal="center" vertical="top" wrapText="1"/>
    </xf>
    <xf numFmtId="0" fontId="10" fillId="0" borderId="28" xfId="0" applyNumberFormat="1" applyFont="1" applyFill="1" applyBorder="1" applyAlignment="1" applyProtection="1">
      <alignment horizontal="center"/>
      <protection locked="0"/>
    </xf>
    <xf numFmtId="0" fontId="10" fillId="36" borderId="27" xfId="0" applyNumberFormat="1" applyFont="1" applyFill="1" applyBorder="1" applyAlignment="1" applyProtection="1">
      <alignment horizontal="center"/>
      <protection/>
    </xf>
    <xf numFmtId="0" fontId="10" fillId="36" borderId="33" xfId="0" applyNumberFormat="1" applyFont="1" applyFill="1" applyBorder="1" applyAlignment="1" applyProtection="1">
      <alignment horizontal="center"/>
      <protection/>
    </xf>
    <xf numFmtId="0" fontId="10" fillId="0" borderId="35" xfId="0" applyNumberFormat="1" applyFont="1" applyFill="1" applyBorder="1" applyAlignment="1" applyProtection="1">
      <alignment horizontal="center"/>
      <protection locked="0"/>
    </xf>
    <xf numFmtId="0" fontId="10" fillId="33" borderId="28" xfId="0" applyNumberFormat="1" applyFont="1" applyFill="1" applyBorder="1" applyAlignment="1" applyProtection="1">
      <alignment horizontal="center"/>
      <protection locked="0"/>
    </xf>
    <xf numFmtId="0" fontId="10" fillId="33" borderId="34" xfId="0" applyNumberFormat="1" applyFont="1" applyFill="1" applyBorder="1" applyAlignment="1" applyProtection="1">
      <alignment horizontal="center"/>
      <protection locked="0"/>
    </xf>
    <xf numFmtId="0" fontId="10" fillId="33" borderId="35" xfId="0" applyNumberFormat="1" applyFont="1" applyFill="1" applyBorder="1" applyAlignment="1" applyProtection="1">
      <alignment horizontal="center"/>
      <protection locked="0"/>
    </xf>
    <xf numFmtId="0" fontId="10" fillId="33" borderId="28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8" fillId="15" borderId="27" xfId="0" applyFont="1" applyFill="1" applyBorder="1" applyAlignment="1">
      <alignment vertical="center" wrapText="1"/>
    </xf>
    <xf numFmtId="0" fontId="8" fillId="15" borderId="28" xfId="0" applyFont="1" applyFill="1" applyBorder="1" applyAlignment="1">
      <alignment horizontal="center" vertical="top" wrapText="1"/>
    </xf>
    <xf numFmtId="172" fontId="10" fillId="33" borderId="28" xfId="0" applyNumberFormat="1" applyFont="1" applyFill="1" applyBorder="1" applyAlignment="1" applyProtection="1">
      <alignment horizontal="center" vertical="top" wrapText="1"/>
      <protection locked="0"/>
    </xf>
    <xf numFmtId="0" fontId="10" fillId="33" borderId="34" xfId="0" applyFont="1" applyFill="1" applyBorder="1" applyAlignment="1" applyProtection="1">
      <alignment horizontal="center" vertical="top" wrapText="1"/>
      <protection locked="0"/>
    </xf>
    <xf numFmtId="172" fontId="10" fillId="33" borderId="35" xfId="0" applyNumberFormat="1" applyFont="1" applyFill="1" applyBorder="1" applyAlignment="1" applyProtection="1">
      <alignment horizontal="center" vertical="top" wrapText="1"/>
      <protection locked="0"/>
    </xf>
    <xf numFmtId="0" fontId="72" fillId="0" borderId="0" xfId="0" applyFont="1" applyAlignment="1" applyProtection="1">
      <alignment horizontal="center" vertical="center"/>
      <protection/>
    </xf>
    <xf numFmtId="0" fontId="4" fillId="15" borderId="27" xfId="0" applyFont="1" applyFill="1" applyBorder="1" applyAlignment="1" applyProtection="1">
      <alignment horizontal="center" vertical="center"/>
      <protection/>
    </xf>
    <xf numFmtId="0" fontId="4" fillId="15" borderId="10" xfId="0" applyFont="1" applyFill="1" applyBorder="1" applyAlignment="1" applyProtection="1">
      <alignment horizontal="center" vertical="center"/>
      <protection/>
    </xf>
    <xf numFmtId="0" fontId="4" fillId="15" borderId="28" xfId="0" applyFont="1" applyFill="1" applyBorder="1" applyAlignment="1" applyProtection="1">
      <alignment horizontal="center" vertical="center"/>
      <protection/>
    </xf>
    <xf numFmtId="0" fontId="4" fillId="9" borderId="10" xfId="0" applyFont="1" applyFill="1" applyBorder="1" applyAlignment="1" applyProtection="1">
      <alignment horizontal="center" vertical="center" wrapText="1"/>
      <protection/>
    </xf>
    <xf numFmtId="0" fontId="4" fillId="9" borderId="28" xfId="0" applyFont="1" applyFill="1" applyBorder="1" applyAlignment="1" applyProtection="1">
      <alignment horizontal="center" vertical="center" wrapText="1"/>
      <protection/>
    </xf>
    <xf numFmtId="0" fontId="4" fillId="15" borderId="27" xfId="0" applyFont="1" applyFill="1" applyBorder="1" applyAlignment="1" applyProtection="1">
      <alignment horizontal="center" vertical="center" wrapText="1"/>
      <protection/>
    </xf>
    <xf numFmtId="0" fontId="4" fillId="15" borderId="28" xfId="0" applyFont="1" applyFill="1" applyBorder="1" applyAlignment="1" applyProtection="1">
      <alignment horizontal="center" vertical="center" wrapText="1"/>
      <protection/>
    </xf>
    <xf numFmtId="0" fontId="4" fillId="37" borderId="27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37" borderId="2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28" xfId="0" applyFont="1" applyFill="1" applyBorder="1" applyAlignment="1" applyProtection="1">
      <alignment horizontal="center" vertical="center" wrapText="1"/>
      <protection locked="0"/>
    </xf>
    <xf numFmtId="0" fontId="4" fillId="37" borderId="33" xfId="0" applyFont="1" applyFill="1" applyBorder="1" applyAlignment="1" applyProtection="1">
      <alignment horizontal="center" vertical="center" wrapText="1"/>
      <protection/>
    </xf>
    <xf numFmtId="0" fontId="4" fillId="33" borderId="34" xfId="0" applyFont="1" applyFill="1" applyBorder="1" applyAlignment="1" applyProtection="1">
      <alignment horizontal="center" vertical="center" wrapText="1"/>
      <protection locked="0"/>
    </xf>
    <xf numFmtId="0" fontId="4" fillId="33" borderId="35" xfId="0" applyFont="1" applyFill="1" applyBorder="1" applyAlignment="1" applyProtection="1">
      <alignment horizontal="center" vertical="center" wrapText="1"/>
      <protection locked="0"/>
    </xf>
    <xf numFmtId="0" fontId="4" fillId="15" borderId="10" xfId="0" applyFont="1" applyFill="1" applyBorder="1" applyAlignment="1" applyProtection="1">
      <alignment horizontal="center" vertical="center" wrapText="1"/>
      <protection/>
    </xf>
    <xf numFmtId="0" fontId="7" fillId="15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2" fillId="15" borderId="0" xfId="0" applyFont="1" applyFill="1" applyBorder="1" applyAlignment="1" applyProtection="1">
      <alignment horizontal="center" vertical="center"/>
      <protection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0" fontId="72" fillId="34" borderId="0" xfId="0" applyFont="1" applyFill="1" applyBorder="1" applyAlignment="1" applyProtection="1">
      <alignment horizontal="center" vertical="center"/>
      <protection/>
    </xf>
    <xf numFmtId="0" fontId="4" fillId="37" borderId="33" xfId="0" applyFont="1" applyFill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 locked="0"/>
    </xf>
    <xf numFmtId="0" fontId="72" fillId="34" borderId="36" xfId="0" applyFont="1" applyFill="1" applyBorder="1" applyAlignment="1" applyProtection="1">
      <alignment horizontal="center" vertical="center"/>
      <protection/>
    </xf>
    <xf numFmtId="0" fontId="76" fillId="8" borderId="43" xfId="0" applyFont="1" applyFill="1" applyBorder="1" applyAlignment="1">
      <alignment/>
    </xf>
    <xf numFmtId="0" fontId="74" fillId="8" borderId="44" xfId="0" applyFont="1" applyFill="1" applyBorder="1" applyAlignment="1">
      <alignment vertical="center"/>
    </xf>
    <xf numFmtId="2" fontId="74" fillId="8" borderId="0" xfId="0" applyNumberFormat="1" applyFont="1" applyFill="1" applyBorder="1" applyAlignment="1">
      <alignment horizontal="center"/>
    </xf>
    <xf numFmtId="173" fontId="80" fillId="8" borderId="0" xfId="0" applyNumberFormat="1" applyFont="1" applyFill="1" applyBorder="1" applyAlignment="1">
      <alignment horizontal="left"/>
    </xf>
    <xf numFmtId="2" fontId="4" fillId="34" borderId="0" xfId="0" applyNumberFormat="1" applyFont="1" applyFill="1" applyBorder="1" applyAlignment="1">
      <alignment horizontal="left"/>
    </xf>
    <xf numFmtId="2" fontId="74" fillId="8" borderId="45" xfId="0" applyNumberFormat="1" applyFont="1" applyFill="1" applyBorder="1" applyAlignment="1">
      <alignment horizontal="center"/>
    </xf>
    <xf numFmtId="2" fontId="4" fillId="8" borderId="18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4" fillId="35" borderId="0" xfId="0" applyFont="1" applyFill="1" applyAlignment="1" applyProtection="1">
      <alignment horizontal="center"/>
      <protection locked="0"/>
    </xf>
    <xf numFmtId="0" fontId="4" fillId="35" borderId="0" xfId="0" applyFont="1" applyFill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3" fillId="35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72" fillId="38" borderId="46" xfId="0" applyFont="1" applyFill="1" applyBorder="1" applyAlignment="1">
      <alignment horizontal="center"/>
    </xf>
    <xf numFmtId="0" fontId="4" fillId="38" borderId="47" xfId="0" applyFont="1" applyFill="1" applyBorder="1" applyAlignment="1">
      <alignment horizontal="left"/>
    </xf>
    <xf numFmtId="0" fontId="4" fillId="38" borderId="48" xfId="0" applyFont="1" applyFill="1" applyBorder="1" applyAlignment="1">
      <alignment horizontal="left"/>
    </xf>
    <xf numFmtId="0" fontId="72" fillId="38" borderId="49" xfId="0" applyFont="1" applyFill="1" applyBorder="1" applyAlignment="1">
      <alignment horizontal="center"/>
    </xf>
    <xf numFmtId="173" fontId="4" fillId="38" borderId="48" xfId="0" applyNumberFormat="1" applyFont="1" applyFill="1" applyBorder="1" applyAlignment="1">
      <alignment horizontal="center"/>
    </xf>
    <xf numFmtId="173" fontId="4" fillId="38" borderId="48" xfId="0" applyNumberFormat="1" applyFont="1" applyFill="1" applyBorder="1" applyAlignment="1">
      <alignment horizontal="left"/>
    </xf>
    <xf numFmtId="0" fontId="72" fillId="38" borderId="50" xfId="0" applyFont="1" applyFill="1" applyBorder="1" applyAlignment="1">
      <alignment horizontal="center"/>
    </xf>
    <xf numFmtId="0" fontId="4" fillId="38" borderId="51" xfId="0" applyFont="1" applyFill="1" applyBorder="1" applyAlignment="1">
      <alignment horizontal="left"/>
    </xf>
    <xf numFmtId="0" fontId="6" fillId="38" borderId="48" xfId="0" applyFont="1" applyFill="1" applyBorder="1" applyAlignment="1">
      <alignment horizontal="left"/>
    </xf>
    <xf numFmtId="0" fontId="3" fillId="38" borderId="48" xfId="0" applyFont="1" applyFill="1" applyBorder="1" applyAlignment="1">
      <alignment horizontal="left"/>
    </xf>
    <xf numFmtId="0" fontId="4" fillId="38" borderId="0" xfId="0" applyFont="1" applyFill="1" applyBorder="1" applyAlignment="1">
      <alignment horizontal="left"/>
    </xf>
    <xf numFmtId="0" fontId="6" fillId="38" borderId="0" xfId="0" applyFont="1" applyFill="1" applyBorder="1" applyAlignment="1">
      <alignment horizontal="left"/>
    </xf>
    <xf numFmtId="173" fontId="4" fillId="38" borderId="0" xfId="0" applyNumberFormat="1" applyFont="1" applyFill="1" applyBorder="1" applyAlignment="1">
      <alignment horizontal="center"/>
    </xf>
    <xf numFmtId="173" fontId="4" fillId="38" borderId="0" xfId="0" applyNumberFormat="1" applyFont="1" applyFill="1" applyBorder="1" applyAlignment="1">
      <alignment horizontal="left"/>
    </xf>
    <xf numFmtId="0" fontId="72" fillId="38" borderId="0" xfId="0" applyFont="1" applyFill="1" applyBorder="1" applyAlignment="1">
      <alignment horizontal="center"/>
    </xf>
    <xf numFmtId="0" fontId="4" fillId="38" borderId="52" xfId="0" applyFont="1" applyFill="1" applyBorder="1" applyAlignment="1">
      <alignment horizontal="left"/>
    </xf>
    <xf numFmtId="0" fontId="71" fillId="38" borderId="48" xfId="0" applyFont="1" applyFill="1" applyBorder="1" applyAlignment="1">
      <alignment horizontal="center"/>
    </xf>
    <xf numFmtId="0" fontId="71" fillId="38" borderId="48" xfId="0" applyFont="1" applyFill="1" applyBorder="1" applyAlignment="1">
      <alignment horizontal="left"/>
    </xf>
    <xf numFmtId="0" fontId="4" fillId="38" borderId="53" xfId="0" applyFont="1" applyFill="1" applyBorder="1" applyAlignment="1">
      <alignment horizontal="left"/>
    </xf>
    <xf numFmtId="0" fontId="72" fillId="38" borderId="52" xfId="0" applyFont="1" applyFill="1" applyBorder="1" applyAlignment="1">
      <alignment horizontal="center"/>
    </xf>
    <xf numFmtId="0" fontId="72" fillId="38" borderId="53" xfId="0" applyFont="1" applyFill="1" applyBorder="1" applyAlignment="1">
      <alignment horizontal="center"/>
    </xf>
    <xf numFmtId="0" fontId="74" fillId="38" borderId="0" xfId="0" applyFont="1" applyFill="1" applyBorder="1" applyAlignment="1">
      <alignment horizontal="center"/>
    </xf>
    <xf numFmtId="0" fontId="74" fillId="38" borderId="0" xfId="0" applyFont="1" applyFill="1" applyBorder="1" applyAlignment="1">
      <alignment/>
    </xf>
    <xf numFmtId="0" fontId="6" fillId="38" borderId="0" xfId="0" applyFont="1" applyFill="1" applyBorder="1" applyAlignment="1">
      <alignment/>
    </xf>
    <xf numFmtId="2" fontId="7" fillId="34" borderId="0" xfId="0" applyNumberFormat="1" applyFont="1" applyFill="1" applyAlignment="1">
      <alignment horizontal="left"/>
    </xf>
    <xf numFmtId="2" fontId="81" fillId="8" borderId="10" xfId="0" applyNumberFormat="1" applyFont="1" applyFill="1" applyBorder="1" applyAlignment="1">
      <alignment horizontal="center"/>
    </xf>
    <xf numFmtId="0" fontId="4" fillId="39" borderId="0" xfId="0" applyFont="1" applyFill="1" applyAlignment="1">
      <alignment horizontal="left"/>
    </xf>
    <xf numFmtId="0" fontId="10" fillId="36" borderId="27" xfId="0" applyFont="1" applyFill="1" applyBorder="1" applyAlignment="1" applyProtection="1">
      <alignment horizontal="center" vertical="top" wrapText="1"/>
      <protection/>
    </xf>
    <xf numFmtId="0" fontId="10" fillId="36" borderId="33" xfId="0" applyFont="1" applyFill="1" applyBorder="1" applyAlignment="1" applyProtection="1">
      <alignment horizontal="center" vertical="top" wrapText="1"/>
      <protection/>
    </xf>
    <xf numFmtId="0" fontId="10" fillId="36" borderId="33" xfId="0" applyFont="1" applyFill="1" applyBorder="1" applyAlignment="1">
      <alignment horizontal="center" vertical="top" wrapText="1"/>
    </xf>
    <xf numFmtId="0" fontId="71" fillId="39" borderId="0" xfId="0" applyFont="1" applyFill="1" applyBorder="1" applyAlignment="1">
      <alignment/>
    </xf>
    <xf numFmtId="0" fontId="71" fillId="39" borderId="18" xfId="0" applyFont="1" applyFill="1" applyBorder="1" applyAlignment="1">
      <alignment/>
    </xf>
    <xf numFmtId="0" fontId="71" fillId="39" borderId="45" xfId="0" applyFont="1" applyFill="1" applyBorder="1" applyAlignment="1">
      <alignment/>
    </xf>
    <xf numFmtId="0" fontId="71" fillId="39" borderId="23" xfId="0" applyFont="1" applyFill="1" applyBorder="1" applyAlignment="1">
      <alignment/>
    </xf>
    <xf numFmtId="0" fontId="71" fillId="39" borderId="16" xfId="0" applyFont="1" applyFill="1" applyBorder="1" applyAlignment="1">
      <alignment/>
    </xf>
    <xf numFmtId="0" fontId="71" fillId="39" borderId="43" xfId="0" applyFont="1" applyFill="1" applyBorder="1" applyAlignment="1">
      <alignment/>
    </xf>
    <xf numFmtId="0" fontId="71" fillId="39" borderId="44" xfId="0" applyFont="1" applyFill="1" applyBorder="1" applyAlignment="1">
      <alignment/>
    </xf>
    <xf numFmtId="0" fontId="71" fillId="39" borderId="17" xfId="0" applyFont="1" applyFill="1" applyBorder="1" applyAlignment="1">
      <alignment/>
    </xf>
    <xf numFmtId="0" fontId="10" fillId="39" borderId="0" xfId="0" applyFont="1" applyFill="1" applyBorder="1" applyAlignment="1">
      <alignment horizontal="center"/>
    </xf>
    <xf numFmtId="0" fontId="71" fillId="39" borderId="25" xfId="0" applyFont="1" applyFill="1" applyBorder="1" applyAlignment="1">
      <alignment/>
    </xf>
    <xf numFmtId="0" fontId="82" fillId="39" borderId="0" xfId="0" applyFont="1" applyFill="1" applyBorder="1" applyAlignment="1">
      <alignment/>
    </xf>
    <xf numFmtId="0" fontId="71" fillId="39" borderId="0" xfId="0" applyFont="1" applyFill="1" applyAlignment="1">
      <alignment/>
    </xf>
    <xf numFmtId="0" fontId="72" fillId="39" borderId="0" xfId="0" applyFont="1" applyFill="1" applyBorder="1" applyAlignment="1">
      <alignment/>
    </xf>
    <xf numFmtId="0" fontId="72" fillId="39" borderId="0" xfId="0" applyFont="1" applyFill="1" applyBorder="1" applyAlignment="1">
      <alignment/>
    </xf>
    <xf numFmtId="0" fontId="72" fillId="39" borderId="0" xfId="0" applyFont="1" applyFill="1" applyBorder="1" applyAlignment="1">
      <alignment horizontal="center"/>
    </xf>
    <xf numFmtId="0" fontId="72" fillId="39" borderId="0" xfId="0" applyFont="1" applyFill="1" applyAlignment="1">
      <alignment horizontal="left"/>
    </xf>
    <xf numFmtId="0" fontId="72" fillId="39" borderId="0" xfId="0" applyFont="1" applyFill="1" applyAlignment="1">
      <alignment/>
    </xf>
    <xf numFmtId="0" fontId="76" fillId="39" borderId="0" xfId="0" applyFont="1" applyFill="1" applyBorder="1" applyAlignment="1">
      <alignment/>
    </xf>
    <xf numFmtId="0" fontId="72" fillId="39" borderId="0" xfId="0" applyFont="1" applyFill="1" applyBorder="1" applyAlignment="1">
      <alignment horizontal="left"/>
    </xf>
    <xf numFmtId="0" fontId="72" fillId="39" borderId="0" xfId="0" applyFont="1" applyFill="1" applyAlignment="1">
      <alignment horizontal="center"/>
    </xf>
    <xf numFmtId="2" fontId="4" fillId="39" borderId="0" xfId="0" applyNumberFormat="1" applyFont="1" applyFill="1" applyBorder="1" applyAlignment="1">
      <alignment horizontal="left"/>
    </xf>
    <xf numFmtId="0" fontId="4" fillId="39" borderId="0" xfId="0" applyFont="1" applyFill="1" applyAlignment="1">
      <alignment horizontal="center"/>
    </xf>
    <xf numFmtId="0" fontId="4" fillId="39" borderId="0" xfId="0" applyFont="1" applyFill="1" applyBorder="1" applyAlignment="1">
      <alignment horizontal="left"/>
    </xf>
    <xf numFmtId="0" fontId="3" fillId="39" borderId="0" xfId="0" applyFont="1" applyFill="1" applyAlignment="1">
      <alignment horizontal="left"/>
    </xf>
    <xf numFmtId="0" fontId="83" fillId="39" borderId="0" xfId="0" applyFont="1" applyFill="1" applyAlignment="1">
      <alignment horizontal="left"/>
    </xf>
    <xf numFmtId="0" fontId="4" fillId="39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/>
    </xf>
    <xf numFmtId="2" fontId="72" fillId="39" borderId="0" xfId="0" applyNumberFormat="1" applyFont="1" applyFill="1" applyAlignment="1">
      <alignment horizontal="center"/>
    </xf>
    <xf numFmtId="0" fontId="72" fillId="39" borderId="0" xfId="0" applyFont="1" applyFill="1" applyAlignment="1">
      <alignment/>
    </xf>
    <xf numFmtId="0" fontId="4" fillId="39" borderId="0" xfId="0" applyFont="1" applyFill="1" applyAlignment="1">
      <alignment/>
    </xf>
    <xf numFmtId="0" fontId="84" fillId="39" borderId="0" xfId="0" applyFont="1" applyFill="1" applyAlignment="1">
      <alignment horizontal="center"/>
    </xf>
    <xf numFmtId="0" fontId="84" fillId="39" borderId="0" xfId="0" applyFont="1" applyFill="1" applyAlignment="1">
      <alignment horizontal="left"/>
    </xf>
    <xf numFmtId="0" fontId="7" fillId="39" borderId="0" xfId="0" applyFont="1" applyFill="1" applyAlignment="1">
      <alignment horizontal="left"/>
    </xf>
    <xf numFmtId="0" fontId="7" fillId="39" borderId="0" xfId="0" applyFont="1" applyFill="1" applyAlignment="1">
      <alignment horizontal="center"/>
    </xf>
    <xf numFmtId="0" fontId="71" fillId="39" borderId="0" xfId="0" applyFont="1" applyFill="1" applyBorder="1" applyAlignment="1">
      <alignment vertical="center"/>
    </xf>
    <xf numFmtId="0" fontId="75" fillId="39" borderId="0" xfId="0" applyFont="1" applyFill="1" applyBorder="1" applyAlignment="1">
      <alignment vertical="center"/>
    </xf>
    <xf numFmtId="0" fontId="71" fillId="39" borderId="0" xfId="0" applyFont="1" applyFill="1" applyAlignment="1">
      <alignment horizontal="center"/>
    </xf>
    <xf numFmtId="0" fontId="71" fillId="39" borderId="0" xfId="0" applyFont="1" applyFill="1" applyAlignment="1">
      <alignment horizontal="left"/>
    </xf>
    <xf numFmtId="0" fontId="4" fillId="39" borderId="0" xfId="0" applyFont="1" applyFill="1" applyBorder="1" applyAlignment="1">
      <alignment horizontal="center" vertical="center" wrapText="1"/>
    </xf>
    <xf numFmtId="0" fontId="3" fillId="39" borderId="0" xfId="0" applyFont="1" applyFill="1" applyAlignment="1">
      <alignment horizontal="center"/>
    </xf>
    <xf numFmtId="2" fontId="4" fillId="39" borderId="0" xfId="0" applyNumberFormat="1" applyFont="1" applyFill="1" applyAlignment="1">
      <alignment horizontal="center"/>
    </xf>
    <xf numFmtId="2" fontId="4" fillId="39" borderId="0" xfId="0" applyNumberFormat="1" applyFont="1" applyFill="1" applyBorder="1" applyAlignment="1">
      <alignment horizontal="center"/>
    </xf>
    <xf numFmtId="0" fontId="3" fillId="39" borderId="0" xfId="0" applyFont="1" applyFill="1" applyBorder="1" applyAlignment="1">
      <alignment horizontal="left"/>
    </xf>
    <xf numFmtId="2" fontId="3" fillId="39" borderId="0" xfId="0" applyNumberFormat="1" applyFont="1" applyFill="1" applyBorder="1" applyAlignment="1">
      <alignment horizontal="left"/>
    </xf>
    <xf numFmtId="0" fontId="3" fillId="39" borderId="0" xfId="0" applyFont="1" applyFill="1" applyBorder="1" applyAlignment="1">
      <alignment horizontal="center"/>
    </xf>
    <xf numFmtId="2" fontId="3" fillId="39" borderId="0" xfId="0" applyNumberFormat="1" applyFont="1" applyFill="1" applyAlignment="1">
      <alignment horizontal="left"/>
    </xf>
    <xf numFmtId="0" fontId="6" fillId="39" borderId="0" xfId="0" applyFont="1" applyFill="1" applyBorder="1" applyAlignment="1">
      <alignment horizontal="center" vertical="center"/>
    </xf>
    <xf numFmtId="0" fontId="76" fillId="0" borderId="0" xfId="0" applyFont="1" applyAlignment="1" applyProtection="1">
      <alignment horizontal="center" vertical="center"/>
      <protection/>
    </xf>
    <xf numFmtId="0" fontId="71" fillId="39" borderId="0" xfId="0" applyFont="1" applyFill="1" applyAlignment="1" applyProtection="1">
      <alignment horizontal="center" vertical="center"/>
      <protection/>
    </xf>
    <xf numFmtId="0" fontId="76" fillId="39" borderId="0" xfId="0" applyFont="1" applyFill="1" applyAlignment="1" applyProtection="1">
      <alignment horizontal="center" vertical="center"/>
      <protection/>
    </xf>
    <xf numFmtId="0" fontId="72" fillId="39" borderId="0" xfId="0" applyFont="1" applyFill="1" applyAlignment="1" applyProtection="1">
      <alignment horizontal="center" vertical="center"/>
      <protection/>
    </xf>
    <xf numFmtId="0" fontId="4" fillId="39" borderId="27" xfId="0" applyFont="1" applyFill="1" applyBorder="1" applyAlignment="1" applyProtection="1">
      <alignment horizontal="center" vertical="center" wrapText="1"/>
      <protection/>
    </xf>
    <xf numFmtId="0" fontId="4" fillId="39" borderId="28" xfId="0" applyFont="1" applyFill="1" applyBorder="1" applyAlignment="1" applyProtection="1">
      <alignment horizontal="center" vertical="center" wrapText="1"/>
      <protection locked="0"/>
    </xf>
    <xf numFmtId="0" fontId="7" fillId="39" borderId="0" xfId="0" applyFont="1" applyFill="1" applyBorder="1" applyAlignment="1" applyProtection="1">
      <alignment horizontal="center" vertical="center"/>
      <protection/>
    </xf>
    <xf numFmtId="0" fontId="4" fillId="39" borderId="0" xfId="0" applyFont="1" applyFill="1" applyAlignment="1" applyProtection="1">
      <alignment horizontal="center" vertical="center"/>
      <protection/>
    </xf>
    <xf numFmtId="0" fontId="4" fillId="39" borderId="0" xfId="0" applyFont="1" applyFill="1" applyBorder="1" applyAlignment="1" applyProtection="1">
      <alignment horizontal="center" vertical="center"/>
      <protection/>
    </xf>
    <xf numFmtId="0" fontId="3" fillId="39" borderId="0" xfId="0" applyFont="1" applyFill="1" applyAlignment="1" applyProtection="1">
      <alignment horizontal="center" vertical="center"/>
      <protection/>
    </xf>
    <xf numFmtId="0" fontId="3" fillId="39" borderId="0" xfId="0" applyFont="1" applyFill="1" applyBorder="1" applyAlignment="1" applyProtection="1">
      <alignment horizontal="center" vertical="center"/>
      <protection/>
    </xf>
    <xf numFmtId="0" fontId="4" fillId="8" borderId="18" xfId="0" applyFont="1" applyFill="1" applyBorder="1" applyAlignment="1">
      <alignment horizontal="left"/>
    </xf>
    <xf numFmtId="0" fontId="85" fillId="39" borderId="0" xfId="0" applyFont="1" applyFill="1" applyBorder="1" applyAlignment="1">
      <alignment vertical="center" wrapText="1"/>
    </xf>
    <xf numFmtId="0" fontId="11" fillId="38" borderId="0" xfId="0" applyFont="1" applyFill="1" applyBorder="1" applyAlignment="1">
      <alignment horizontal="left"/>
    </xf>
    <xf numFmtId="0" fontId="86" fillId="39" borderId="0" xfId="53" applyFont="1" applyFill="1" applyAlignment="1" applyProtection="1">
      <alignment horizontal="center" wrapText="1"/>
      <protection/>
    </xf>
    <xf numFmtId="0" fontId="74" fillId="38" borderId="0" xfId="0" applyFont="1" applyFill="1" applyBorder="1" applyAlignment="1">
      <alignment horizontal="left"/>
    </xf>
    <xf numFmtId="0" fontId="74" fillId="38" borderId="0" xfId="0" applyFont="1" applyFill="1" applyBorder="1" applyAlignment="1">
      <alignment horizontal="center"/>
    </xf>
    <xf numFmtId="0" fontId="87" fillId="38" borderId="0" xfId="0" applyFont="1" applyFill="1" applyBorder="1" applyAlignment="1">
      <alignment horizontal="center" vertical="center"/>
    </xf>
    <xf numFmtId="0" fontId="88" fillId="40" borderId="54" xfId="0" applyFont="1" applyFill="1" applyBorder="1" applyAlignment="1">
      <alignment horizontal="center" vertical="center"/>
    </xf>
    <xf numFmtId="0" fontId="88" fillId="40" borderId="55" xfId="0" applyFont="1" applyFill="1" applyBorder="1" applyAlignment="1">
      <alignment horizontal="center" vertical="center"/>
    </xf>
    <xf numFmtId="0" fontId="88" fillId="40" borderId="56" xfId="0" applyFont="1" applyFill="1" applyBorder="1" applyAlignment="1">
      <alignment horizontal="center" vertical="center"/>
    </xf>
    <xf numFmtId="2" fontId="4" fillId="39" borderId="0" xfId="0" applyNumberFormat="1" applyFont="1" applyFill="1" applyBorder="1" applyAlignment="1">
      <alignment horizontal="left"/>
    </xf>
    <xf numFmtId="0" fontId="88" fillId="41" borderId="54" xfId="0" applyFont="1" applyFill="1" applyBorder="1" applyAlignment="1">
      <alignment horizontal="center" vertical="center"/>
    </xf>
    <xf numFmtId="0" fontId="88" fillId="41" borderId="55" xfId="0" applyFont="1" applyFill="1" applyBorder="1" applyAlignment="1">
      <alignment horizontal="center" vertical="center"/>
    </xf>
    <xf numFmtId="0" fontId="88" fillId="41" borderId="56" xfId="0" applyFont="1" applyFill="1" applyBorder="1" applyAlignment="1">
      <alignment horizontal="center" vertical="center"/>
    </xf>
    <xf numFmtId="0" fontId="72" fillId="39" borderId="0" xfId="0" applyFont="1" applyFill="1" applyBorder="1" applyAlignment="1">
      <alignment horizontal="left" vertical="center" wrapText="1"/>
    </xf>
    <xf numFmtId="0" fontId="88" fillId="42" borderId="54" xfId="0" applyFont="1" applyFill="1" applyBorder="1" applyAlignment="1">
      <alignment horizontal="center" vertical="center"/>
    </xf>
    <xf numFmtId="0" fontId="88" fillId="42" borderId="55" xfId="0" applyFont="1" applyFill="1" applyBorder="1" applyAlignment="1">
      <alignment horizontal="center" vertical="center"/>
    </xf>
    <xf numFmtId="0" fontId="88" fillId="42" borderId="56" xfId="0" applyFont="1" applyFill="1" applyBorder="1" applyAlignment="1">
      <alignment horizontal="center" vertical="center"/>
    </xf>
    <xf numFmtId="0" fontId="74" fillId="8" borderId="12" xfId="0" applyFont="1" applyFill="1" applyBorder="1" applyAlignment="1">
      <alignment horizontal="left" vertical="center"/>
    </xf>
    <xf numFmtId="0" fontId="87" fillId="38" borderId="57" xfId="0" applyFont="1" applyFill="1" applyBorder="1" applyAlignment="1">
      <alignment horizontal="center" vertical="center"/>
    </xf>
    <xf numFmtId="0" fontId="87" fillId="38" borderId="58" xfId="0" applyFont="1" applyFill="1" applyBorder="1" applyAlignment="1">
      <alignment horizontal="center" vertical="center"/>
    </xf>
    <xf numFmtId="0" fontId="87" fillId="38" borderId="59" xfId="0" applyFont="1" applyFill="1" applyBorder="1" applyAlignment="1">
      <alignment horizontal="center" vertical="center"/>
    </xf>
    <xf numFmtId="0" fontId="87" fillId="38" borderId="60" xfId="0" applyFont="1" applyFill="1" applyBorder="1" applyAlignment="1">
      <alignment horizontal="center" vertical="center"/>
    </xf>
    <xf numFmtId="0" fontId="87" fillId="38" borderId="61" xfId="0" applyFont="1" applyFill="1" applyBorder="1" applyAlignment="1">
      <alignment horizontal="center" vertical="center"/>
    </xf>
    <xf numFmtId="0" fontId="87" fillId="38" borderId="62" xfId="0" applyFont="1" applyFill="1" applyBorder="1" applyAlignment="1">
      <alignment horizontal="center" vertical="center"/>
    </xf>
    <xf numFmtId="0" fontId="8" fillId="15" borderId="63" xfId="0" applyFont="1" applyFill="1" applyBorder="1" applyAlignment="1">
      <alignment horizontal="center" vertical="top" wrapText="1"/>
    </xf>
    <xf numFmtId="0" fontId="8" fillId="15" borderId="64" xfId="0" applyFont="1" applyFill="1" applyBorder="1" applyAlignment="1">
      <alignment horizontal="center" vertical="top" wrapText="1"/>
    </xf>
    <xf numFmtId="0" fontId="8" fillId="15" borderId="65" xfId="0" applyFont="1" applyFill="1" applyBorder="1" applyAlignment="1">
      <alignment horizontal="center" vertical="top" wrapText="1"/>
    </xf>
    <xf numFmtId="0" fontId="89" fillId="43" borderId="66" xfId="0" applyFont="1" applyFill="1" applyBorder="1" applyAlignment="1">
      <alignment horizontal="center"/>
    </xf>
    <xf numFmtId="0" fontId="89" fillId="43" borderId="67" xfId="0" applyFont="1" applyFill="1" applyBorder="1" applyAlignment="1">
      <alignment horizontal="center"/>
    </xf>
    <xf numFmtId="0" fontId="89" fillId="43" borderId="68" xfId="0" applyFont="1" applyFill="1" applyBorder="1" applyAlignment="1">
      <alignment horizontal="center"/>
    </xf>
    <xf numFmtId="0" fontId="89" fillId="43" borderId="40" xfId="0" applyFont="1" applyFill="1" applyBorder="1" applyAlignment="1">
      <alignment horizontal="center"/>
    </xf>
    <xf numFmtId="0" fontId="89" fillId="43" borderId="30" xfId="0" applyFont="1" applyFill="1" applyBorder="1" applyAlignment="1">
      <alignment horizontal="center"/>
    </xf>
    <xf numFmtId="0" fontId="89" fillId="43" borderId="31" xfId="0" applyFont="1" applyFill="1" applyBorder="1" applyAlignment="1">
      <alignment horizontal="center"/>
    </xf>
    <xf numFmtId="0" fontId="8" fillId="15" borderId="28" xfId="0" applyFont="1" applyFill="1" applyBorder="1" applyAlignment="1">
      <alignment horizontal="center" vertical="center" wrapText="1"/>
    </xf>
    <xf numFmtId="0" fontId="8" fillId="15" borderId="10" xfId="0" applyFont="1" applyFill="1" applyBorder="1" applyAlignment="1">
      <alignment horizontal="center" vertical="center" wrapText="1"/>
    </xf>
    <xf numFmtId="0" fontId="8" fillId="15" borderId="63" xfId="0" applyFont="1" applyFill="1" applyBorder="1" applyAlignment="1">
      <alignment horizontal="center" vertical="center" wrapText="1"/>
    </xf>
    <xf numFmtId="0" fontId="8" fillId="15" borderId="64" xfId="0" applyFont="1" applyFill="1" applyBorder="1" applyAlignment="1">
      <alignment horizontal="center" vertical="center" wrapText="1"/>
    </xf>
    <xf numFmtId="0" fontId="8" fillId="15" borderId="65" xfId="0" applyFont="1" applyFill="1" applyBorder="1" applyAlignment="1">
      <alignment horizontal="center" vertical="center" wrapText="1"/>
    </xf>
    <xf numFmtId="0" fontId="8" fillId="15" borderId="10" xfId="0" applyFont="1" applyFill="1" applyBorder="1" applyAlignment="1">
      <alignment horizontal="center"/>
    </xf>
    <xf numFmtId="0" fontId="89" fillId="43" borderId="69" xfId="0" applyFont="1" applyFill="1" applyBorder="1" applyAlignment="1">
      <alignment horizontal="center" vertical="center" wrapText="1"/>
    </xf>
    <xf numFmtId="0" fontId="89" fillId="43" borderId="70" xfId="0" applyFont="1" applyFill="1" applyBorder="1" applyAlignment="1">
      <alignment horizontal="center" vertical="center" wrapText="1"/>
    </xf>
    <xf numFmtId="0" fontId="89" fillId="43" borderId="71" xfId="0" applyFont="1" applyFill="1" applyBorder="1" applyAlignment="1">
      <alignment horizontal="center" vertical="center" wrapText="1"/>
    </xf>
    <xf numFmtId="0" fontId="90" fillId="43" borderId="72" xfId="0" applyFont="1" applyFill="1" applyBorder="1" applyAlignment="1">
      <alignment horizontal="center"/>
    </xf>
    <xf numFmtId="0" fontId="90" fillId="43" borderId="73" xfId="0" applyFont="1" applyFill="1" applyBorder="1" applyAlignment="1">
      <alignment horizontal="center"/>
    </xf>
    <xf numFmtId="0" fontId="90" fillId="43" borderId="74" xfId="0" applyFont="1" applyFill="1" applyBorder="1" applyAlignment="1">
      <alignment horizontal="center"/>
    </xf>
    <xf numFmtId="0" fontId="91" fillId="40" borderId="70" xfId="0" applyFont="1" applyFill="1" applyBorder="1" applyAlignment="1" applyProtection="1">
      <alignment horizontal="center" vertical="center"/>
      <protection/>
    </xf>
    <xf numFmtId="0" fontId="91" fillId="40" borderId="71" xfId="0" applyFont="1" applyFill="1" applyBorder="1" applyAlignment="1" applyProtection="1">
      <alignment horizontal="center" vertical="center"/>
      <protection/>
    </xf>
    <xf numFmtId="0" fontId="91" fillId="40" borderId="72" xfId="0" applyFont="1" applyFill="1" applyBorder="1" applyAlignment="1" applyProtection="1">
      <alignment horizontal="center" vertical="center"/>
      <protection/>
    </xf>
    <xf numFmtId="0" fontId="91" fillId="40" borderId="73" xfId="0" applyFont="1" applyFill="1" applyBorder="1" applyAlignment="1" applyProtection="1">
      <alignment horizontal="center" vertical="center"/>
      <protection/>
    </xf>
    <xf numFmtId="0" fontId="91" fillId="40" borderId="74" xfId="0" applyFont="1" applyFill="1" applyBorder="1" applyAlignment="1" applyProtection="1">
      <alignment horizontal="center" vertical="center"/>
      <protection/>
    </xf>
    <xf numFmtId="0" fontId="91" fillId="40" borderId="69" xfId="0" applyFont="1" applyFill="1" applyBorder="1" applyAlignment="1" applyProtection="1">
      <alignment horizontal="center" vertical="center" wrapText="1"/>
      <protection/>
    </xf>
    <xf numFmtId="0" fontId="91" fillId="40" borderId="71" xfId="0" applyFont="1" applyFill="1" applyBorder="1" applyAlignment="1" applyProtection="1">
      <alignment horizontal="center" vertical="center" wrapText="1"/>
      <protection/>
    </xf>
    <xf numFmtId="0" fontId="91" fillId="40" borderId="69" xfId="0" applyFont="1" applyFill="1" applyBorder="1" applyAlignment="1" applyProtection="1">
      <alignment horizontal="center" vertical="center"/>
      <protection/>
    </xf>
    <xf numFmtId="0" fontId="4" fillId="9" borderId="65" xfId="0" applyFont="1" applyFill="1" applyBorder="1" applyAlignment="1" applyProtection="1">
      <alignment horizontal="center" vertical="center" wrapText="1"/>
      <protection/>
    </xf>
    <xf numFmtId="0" fontId="4" fillId="9" borderId="27" xfId="0" applyFont="1" applyFill="1" applyBorder="1" applyAlignment="1" applyProtection="1">
      <alignment horizontal="center" vertical="center" wrapText="1"/>
      <protection/>
    </xf>
    <xf numFmtId="0" fontId="4" fillId="9" borderId="29" xfId="0" applyFont="1" applyFill="1" applyBorder="1" applyAlignment="1" applyProtection="1">
      <alignment horizontal="center" vertical="center" wrapText="1"/>
      <protection/>
    </xf>
    <xf numFmtId="0" fontId="4" fillId="9" borderId="75" xfId="0" applyFont="1" applyFill="1" applyBorder="1" applyAlignment="1" applyProtection="1">
      <alignment horizontal="center" vertical="center" wrapText="1"/>
      <protection/>
    </xf>
    <xf numFmtId="0" fontId="92" fillId="37" borderId="72" xfId="0" applyFont="1" applyFill="1" applyBorder="1" applyAlignment="1">
      <alignment horizontal="center" vertical="center"/>
    </xf>
    <xf numFmtId="0" fontId="92" fillId="37" borderId="73" xfId="0" applyFont="1" applyFill="1" applyBorder="1" applyAlignment="1">
      <alignment horizontal="center" vertical="center"/>
    </xf>
    <xf numFmtId="0" fontId="92" fillId="37" borderId="74" xfId="0" applyFont="1" applyFill="1" applyBorder="1" applyAlignment="1">
      <alignment horizontal="center" vertical="center"/>
    </xf>
    <xf numFmtId="0" fontId="4" fillId="15" borderId="27" xfId="0" applyFont="1" applyFill="1" applyBorder="1" applyAlignment="1" applyProtection="1">
      <alignment horizontal="center" vertical="center" wrapText="1"/>
      <protection/>
    </xf>
    <xf numFmtId="0" fontId="4" fillId="15" borderId="28" xfId="0" applyFont="1" applyFill="1" applyBorder="1" applyAlignment="1" applyProtection="1">
      <alignment horizontal="center" vertical="center" wrapText="1"/>
      <protection/>
    </xf>
    <xf numFmtId="0" fontId="91" fillId="40" borderId="76" xfId="0" applyFont="1" applyFill="1" applyBorder="1" applyAlignment="1" applyProtection="1">
      <alignment horizontal="center" vertical="center" wrapText="1"/>
      <protection/>
    </xf>
    <xf numFmtId="0" fontId="91" fillId="40" borderId="77" xfId="0" applyFont="1" applyFill="1" applyBorder="1" applyAlignment="1" applyProtection="1">
      <alignment horizontal="center" vertical="center" wrapText="1"/>
      <protection/>
    </xf>
    <xf numFmtId="0" fontId="91" fillId="40" borderId="40" xfId="0" applyFont="1" applyFill="1" applyBorder="1" applyAlignment="1" applyProtection="1">
      <alignment horizontal="center" vertical="center"/>
      <protection/>
    </xf>
    <xf numFmtId="0" fontId="91" fillId="40" borderId="30" xfId="0" applyFont="1" applyFill="1" applyBorder="1" applyAlignment="1" applyProtection="1">
      <alignment horizontal="center" vertical="center"/>
      <protection/>
    </xf>
    <xf numFmtId="0" fontId="91" fillId="40" borderId="31" xfId="0" applyFont="1" applyFill="1" applyBorder="1" applyAlignment="1" applyProtection="1">
      <alignment horizontal="center" vertical="center"/>
      <protection/>
    </xf>
    <xf numFmtId="0" fontId="4" fillId="15" borderId="69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9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76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8" fillId="33" borderId="69" xfId="0" applyFont="1" applyFill="1" applyBorder="1" applyAlignment="1">
      <alignment horizontal="center" vertical="center" wrapText="1"/>
    </xf>
    <xf numFmtId="0" fontId="8" fillId="33" borderId="71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93" fillId="0" borderId="1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10" fillId="0" borderId="75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4" tint="0.5999600291252136"/>
        </patternFill>
      </fill>
    </dxf>
    <dxf>
      <font>
        <color theme="4" tint="0.5999600291252136"/>
      </font>
      <fill>
        <patternFill>
          <bgColor theme="4" tint="0.5999600291252136"/>
        </patternFill>
      </fill>
      <border>
        <left/>
        <right/>
        <top style="thin"/>
        <bottom/>
      </border>
    </dxf>
    <dxf>
      <fill>
        <patternFill>
          <bgColor rgb="FFFF0000"/>
        </patternFill>
      </fill>
    </dxf>
    <dxf>
      <fill>
        <patternFill>
          <bgColor theme="4" tint="0.5999600291252136"/>
        </patternFill>
      </fill>
      <border>
        <left/>
        <right/>
        <top style="thin"/>
        <bottom/>
      </border>
    </dxf>
    <dxf>
      <fill>
        <patternFill>
          <bgColor theme="4" tint="0.5999600291252136"/>
        </patternFill>
      </fill>
      <border>
        <left/>
        <right/>
        <top/>
        <bottom style="thin"/>
      </border>
    </dxf>
    <dxf>
      <fill>
        <patternFill>
          <bgColor theme="4" tint="0.5999600291252136"/>
        </patternFill>
      </fill>
      <border>
        <left/>
        <right/>
        <top/>
        <bottom/>
      </border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4" tint="0.5999600291252136"/>
      </font>
      <fill>
        <patternFill>
          <bgColor theme="4" tint="0.5999600291252136"/>
        </patternFill>
      </fill>
      <border>
        <left/>
        <right/>
        <top/>
        <bottom/>
      </border>
    </dxf>
    <dxf>
      <font>
        <color theme="4" tint="0.5999600291252136"/>
      </font>
      <fill>
        <patternFill>
          <bgColor theme="4" tint="0.5999600291252136"/>
        </patternFill>
      </fill>
      <border>
        <left/>
        <right/>
        <top style="thin"/>
        <bottom/>
      </border>
    </dxf>
    <dxf>
      <font>
        <color theme="4" tint="0.5999600291252136"/>
      </font>
      <fill>
        <patternFill>
          <bgColor theme="4" tint="0.5999600291252136"/>
        </patternFill>
      </fill>
      <border>
        <left>
          <color rgb="FF000000"/>
        </left>
        <right>
          <color rgb="FF000000"/>
        </right>
        <top style="thin"/>
        <bottom>
          <color rgb="FF000000"/>
        </bottom>
      </border>
    </dxf>
    <dxf>
      <font>
        <color theme="4" tint="0.5999600291252136"/>
      </font>
      <fill>
        <patternFill>
          <bgColor theme="4" tint="0.5999600291252136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fill>
        <patternFill>
          <bgColor rgb="FFFF0000"/>
        </patternFill>
      </fill>
      <border/>
    </dxf>
    <dxf>
      <fill>
        <patternFill>
          <bgColor theme="4" tint="0.5999600291252136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border/>
    </dxf>
    <dxf>
      <font>
        <color theme="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Cable!A1" /><Relationship Id="rId2" Type="http://schemas.openxmlformats.org/officeDocument/2006/relationships/image" Target="../media/image1.emf" /><Relationship Id="rId3" Type="http://schemas.openxmlformats.org/officeDocument/2006/relationships/hyperlink" Target="#'Correcction Factor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Cable  Selection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Cable  Selection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57150</xdr:rowOff>
    </xdr:from>
    <xdr:to>
      <xdr:col>9</xdr:col>
      <xdr:colOff>38100</xdr:colOff>
      <xdr:row>1</xdr:row>
      <xdr:rowOff>428625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7115175" y="161925"/>
          <a:ext cx="914400" cy="37147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Cable Detail</a:t>
          </a:r>
        </a:p>
      </xdr:txBody>
    </xdr:sp>
    <xdr:clientData/>
  </xdr:twoCellAnchor>
  <xdr:twoCellAnchor editAs="oneCell">
    <xdr:from>
      <xdr:col>7</xdr:col>
      <xdr:colOff>1543050</xdr:colOff>
      <xdr:row>0</xdr:row>
      <xdr:rowOff>66675</xdr:rowOff>
    </xdr:from>
    <xdr:to>
      <xdr:col>8</xdr:col>
      <xdr:colOff>38100</xdr:colOff>
      <xdr:row>2</xdr:row>
      <xdr:rowOff>66675</xdr:rowOff>
    </xdr:to>
    <xdr:pic>
      <xdr:nvPicPr>
        <xdr:cNvPr id="2" name="Picture 6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6667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1</xdr:row>
      <xdr:rowOff>66675</xdr:rowOff>
    </xdr:from>
    <xdr:to>
      <xdr:col>10</xdr:col>
      <xdr:colOff>0</xdr:colOff>
      <xdr:row>1</xdr:row>
      <xdr:rowOff>428625</xdr:rowOff>
    </xdr:to>
    <xdr:sp>
      <xdr:nvSpPr>
        <xdr:cNvPr id="3" name="Rectangle 3">
          <a:hlinkClick r:id="rId3"/>
        </xdr:cNvPr>
        <xdr:cNvSpPr>
          <a:spLocks/>
        </xdr:cNvSpPr>
      </xdr:nvSpPr>
      <xdr:spPr>
        <a:xfrm>
          <a:off x="8134350" y="171450"/>
          <a:ext cx="838200" cy="36195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derating Detail</a:t>
          </a:r>
        </a:p>
      </xdr:txBody>
    </xdr:sp>
    <xdr:clientData/>
  </xdr:twoCellAnchor>
  <xdr:twoCellAnchor>
    <xdr:from>
      <xdr:col>1</xdr:col>
      <xdr:colOff>57150</xdr:colOff>
      <xdr:row>0</xdr:row>
      <xdr:rowOff>95250</xdr:rowOff>
    </xdr:from>
    <xdr:to>
      <xdr:col>7</xdr:col>
      <xdr:colOff>1438275</xdr:colOff>
      <xdr:row>2</xdr:row>
      <xdr:rowOff>0</xdr:rowOff>
    </xdr:to>
    <xdr:sp>
      <xdr:nvSpPr>
        <xdr:cNvPr id="4" name="Rounded Rectangle 4"/>
        <xdr:cNvSpPr>
          <a:spLocks/>
        </xdr:cNvSpPr>
      </xdr:nvSpPr>
      <xdr:spPr>
        <a:xfrm>
          <a:off x="123825" y="95250"/>
          <a:ext cx="6219825" cy="457200"/>
        </a:xfrm>
        <a:prstGeom prst="roundRect">
          <a:avLst/>
        </a:prstGeom>
        <a:solidFill>
          <a:srgbClr val="00B0F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Calculate  Cable Size  and  Voltage Drop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</xdr:row>
      <xdr:rowOff>95250</xdr:rowOff>
    </xdr:from>
    <xdr:to>
      <xdr:col>12</xdr:col>
      <xdr:colOff>504825</xdr:colOff>
      <xdr:row>3</xdr:row>
      <xdr:rowOff>28575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8382000" y="180975"/>
          <a:ext cx="962025" cy="3143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HOME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0</xdr:row>
      <xdr:rowOff>133350</xdr:rowOff>
    </xdr:from>
    <xdr:to>
      <xdr:col>9</xdr:col>
      <xdr:colOff>257175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4438650" y="133350"/>
          <a:ext cx="962025" cy="3143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HOME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ctricalnotes.wordpress.com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174"/>
  <sheetViews>
    <sheetView tabSelected="1" view="pageBreakPreview" zoomScaleNormal="90" zoomScaleSheetLayoutView="100" zoomScalePageLayoutView="0" workbookViewId="0" topLeftCell="A13">
      <selection activeCell="C24" sqref="C24"/>
    </sheetView>
  </sheetViews>
  <sheetFormatPr defaultColWidth="9.140625" defaultRowHeight="15"/>
  <cols>
    <col min="1" max="1" width="0.9921875" style="3" customWidth="1"/>
    <col min="2" max="2" width="30.7109375" style="2" customWidth="1"/>
    <col min="3" max="3" width="25.140625" style="7" customWidth="1"/>
    <col min="4" max="4" width="8.8515625" style="7" customWidth="1"/>
    <col min="5" max="5" width="6.140625" style="5" customWidth="1"/>
    <col min="6" max="7" width="0.85546875" style="5" customWidth="1"/>
    <col min="8" max="8" width="30.8515625" style="5" customWidth="1"/>
    <col min="9" max="9" width="15.421875" style="6" customWidth="1"/>
    <col min="10" max="10" width="14.7109375" style="5" customWidth="1"/>
    <col min="11" max="11" width="0.85546875" style="11" customWidth="1"/>
    <col min="12" max="12" width="0.5625" style="11" customWidth="1"/>
    <col min="13" max="13" width="35.00390625" style="11" customWidth="1"/>
    <col min="14" max="14" width="16.57421875" style="40" customWidth="1"/>
    <col min="15" max="15" width="0.85546875" style="40" customWidth="1"/>
    <col min="16" max="16" width="15.57421875" style="40" hidden="1" customWidth="1"/>
    <col min="17" max="17" width="6.8515625" style="40" hidden="1" customWidth="1"/>
    <col min="18" max="18" width="12.140625" style="40" hidden="1" customWidth="1"/>
    <col min="19" max="19" width="7.7109375" style="40" hidden="1" customWidth="1"/>
    <col min="20" max="20" width="4.421875" style="41" customWidth="1"/>
    <col min="21" max="21" width="9.28125" style="40" customWidth="1"/>
    <col min="22" max="46" width="6.421875" style="40" customWidth="1"/>
    <col min="47" max="47" width="11.00390625" style="40" customWidth="1"/>
    <col min="48" max="48" width="6.421875" style="40" customWidth="1"/>
    <col min="49" max="49" width="6.421875" style="41" customWidth="1"/>
    <col min="50" max="50" width="10.421875" style="41" customWidth="1"/>
    <col min="51" max="51" width="13.140625" style="40" customWidth="1"/>
    <col min="52" max="60" width="6.421875" style="42" customWidth="1"/>
    <col min="61" max="61" width="6.421875" style="40" customWidth="1"/>
    <col min="62" max="72" width="6.421875" style="43" customWidth="1"/>
    <col min="73" max="73" width="3.8515625" style="19" customWidth="1"/>
    <col min="74" max="76" width="9.140625" style="16" customWidth="1"/>
    <col min="77" max="116" width="9.140625" style="17" customWidth="1"/>
    <col min="117" max="117" width="9.00390625" style="68" customWidth="1"/>
    <col min="118" max="121" width="9.140625" style="69" customWidth="1"/>
    <col min="122" max="122" width="24.140625" style="69" customWidth="1"/>
    <col min="123" max="135" width="9.140625" style="68" customWidth="1"/>
    <col min="136" max="16384" width="9.140625" style="1" customWidth="1"/>
  </cols>
  <sheetData>
    <row r="1" spans="1:95" ht="8.25" customHeight="1">
      <c r="A1" s="262"/>
      <c r="B1" s="262"/>
      <c r="C1" s="287"/>
      <c r="D1" s="287"/>
      <c r="E1" s="288"/>
      <c r="F1" s="266"/>
      <c r="G1" s="266"/>
      <c r="H1" s="266"/>
      <c r="I1" s="270"/>
      <c r="J1" s="270"/>
      <c r="K1" s="270"/>
      <c r="L1" s="270"/>
      <c r="M1" s="270"/>
      <c r="N1" s="247"/>
      <c r="O1" s="247"/>
      <c r="P1" s="247"/>
      <c r="Q1" s="247"/>
      <c r="R1" s="247"/>
      <c r="S1" s="247"/>
      <c r="T1" s="272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72"/>
      <c r="AX1" s="272"/>
      <c r="AY1" s="247"/>
      <c r="AZ1" s="273"/>
      <c r="BA1" s="273"/>
      <c r="BB1" s="273"/>
      <c r="BC1" s="273"/>
      <c r="BD1" s="273"/>
      <c r="BE1" s="273"/>
      <c r="BF1" s="273"/>
      <c r="BG1" s="273"/>
      <c r="BH1" s="273"/>
      <c r="BI1" s="247"/>
      <c r="BJ1" s="274"/>
      <c r="BK1" s="274"/>
      <c r="BX1" s="44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</row>
    <row r="2" spans="1:95" ht="35.25" customHeight="1">
      <c r="A2" s="262"/>
      <c r="B2" s="310"/>
      <c r="C2" s="310"/>
      <c r="D2" s="310"/>
      <c r="E2" s="310"/>
      <c r="F2" s="310"/>
      <c r="G2" s="310"/>
      <c r="H2" s="310"/>
      <c r="I2" s="310"/>
      <c r="J2" s="310"/>
      <c r="K2" s="270"/>
      <c r="L2" s="270"/>
      <c r="M2" s="312" t="s">
        <v>566</v>
      </c>
      <c r="N2" s="272"/>
      <c r="O2" s="272"/>
      <c r="P2" s="272"/>
      <c r="Q2" s="289">
        <f>IF(Q4="DATA IS PROPER",2,1)</f>
        <v>1</v>
      </c>
      <c r="R2" s="247"/>
      <c r="S2" s="247"/>
      <c r="T2" s="272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72"/>
      <c r="AX2" s="272"/>
      <c r="AY2" s="247"/>
      <c r="AZ2" s="273"/>
      <c r="BA2" s="273"/>
      <c r="BB2" s="273"/>
      <c r="BC2" s="273"/>
      <c r="BD2" s="273"/>
      <c r="BE2" s="273"/>
      <c r="BF2" s="273"/>
      <c r="BG2" s="273"/>
      <c r="BH2" s="273"/>
      <c r="BI2" s="247"/>
      <c r="BJ2" s="274"/>
      <c r="BK2" s="274"/>
      <c r="BX2" s="44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</row>
    <row r="3" spans="1:95" ht="6.75" customHeight="1" thickBot="1">
      <c r="A3" s="262"/>
      <c r="B3" s="262"/>
      <c r="C3" s="287"/>
      <c r="D3" s="287"/>
      <c r="E3" s="288"/>
      <c r="F3" s="266"/>
      <c r="G3" s="266"/>
      <c r="H3" s="266"/>
      <c r="I3" s="270"/>
      <c r="J3" s="266"/>
      <c r="K3" s="270"/>
      <c r="L3" s="270"/>
      <c r="M3" s="270"/>
      <c r="N3" s="247"/>
      <c r="O3" s="247"/>
      <c r="P3" s="272"/>
      <c r="Q3" s="247"/>
      <c r="R3" s="247"/>
      <c r="S3" s="247"/>
      <c r="T3" s="272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72"/>
      <c r="AX3" s="272"/>
      <c r="AY3" s="247"/>
      <c r="AZ3" s="273"/>
      <c r="BA3" s="273"/>
      <c r="BB3" s="273"/>
      <c r="BC3" s="273"/>
      <c r="BD3" s="273"/>
      <c r="BE3" s="273"/>
      <c r="BF3" s="273"/>
      <c r="BG3" s="273"/>
      <c r="BH3" s="273"/>
      <c r="BI3" s="247"/>
      <c r="BJ3" s="274"/>
      <c r="BK3" s="274"/>
      <c r="BX3" s="44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</row>
    <row r="4" spans="1:122" ht="18" customHeight="1" thickBot="1" thickTop="1">
      <c r="A4" s="262"/>
      <c r="B4" s="324" t="s">
        <v>564</v>
      </c>
      <c r="C4" s="325"/>
      <c r="D4" s="325"/>
      <c r="E4" s="325"/>
      <c r="F4" s="326"/>
      <c r="G4" s="285"/>
      <c r="H4" s="320" t="s">
        <v>563</v>
      </c>
      <c r="I4" s="321"/>
      <c r="J4" s="322"/>
      <c r="K4" s="270"/>
      <c r="L4" s="287"/>
      <c r="M4" s="316" t="s">
        <v>565</v>
      </c>
      <c r="N4" s="317"/>
      <c r="O4" s="318"/>
      <c r="P4" s="218"/>
      <c r="Q4" s="39"/>
      <c r="R4" s="219" t="b">
        <f>Sheet3!J34</f>
        <v>0</v>
      </c>
      <c r="S4" s="220"/>
      <c r="T4" s="290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90"/>
      <c r="AX4" s="290"/>
      <c r="AY4" s="274"/>
      <c r="AZ4" s="293"/>
      <c r="BA4" s="293"/>
      <c r="BB4" s="293"/>
      <c r="BC4" s="293"/>
      <c r="BD4" s="293"/>
      <c r="BE4" s="293"/>
      <c r="BF4" s="293"/>
      <c r="BG4" s="293"/>
      <c r="BH4" s="293"/>
      <c r="BI4" s="274"/>
      <c r="BJ4" s="274"/>
      <c r="BK4" s="274"/>
      <c r="BX4" s="44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DN4" s="68"/>
      <c r="DO4" s="68"/>
      <c r="DP4" s="68"/>
      <c r="DQ4" s="68"/>
      <c r="DR4" s="68"/>
    </row>
    <row r="5" spans="1:135" s="3" customFormat="1" ht="3.75" customHeight="1" thickBot="1" thickTop="1">
      <c r="A5" s="262"/>
      <c r="B5" s="15"/>
      <c r="C5" s="15"/>
      <c r="D5" s="15"/>
      <c r="E5" s="15"/>
      <c r="F5" s="15"/>
      <c r="G5" s="286"/>
      <c r="H5" s="15"/>
      <c r="I5" s="15"/>
      <c r="J5" s="15"/>
      <c r="K5" s="270"/>
      <c r="L5" s="270"/>
      <c r="M5" s="270"/>
      <c r="N5" s="297"/>
      <c r="O5" s="297"/>
      <c r="P5" s="46"/>
      <c r="Q5" s="39"/>
      <c r="R5" s="39"/>
      <c r="S5" s="39"/>
      <c r="T5" s="272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72"/>
      <c r="AX5" s="272"/>
      <c r="AY5" s="247"/>
      <c r="AZ5" s="273"/>
      <c r="BA5" s="273"/>
      <c r="BB5" s="273"/>
      <c r="BC5" s="273"/>
      <c r="BD5" s="273"/>
      <c r="BE5" s="273"/>
      <c r="BF5" s="273"/>
      <c r="BG5" s="273"/>
      <c r="BH5" s="273"/>
      <c r="BI5" s="247"/>
      <c r="BJ5" s="274"/>
      <c r="BK5" s="274"/>
      <c r="BL5" s="43"/>
      <c r="BM5" s="43"/>
      <c r="BN5" s="43"/>
      <c r="BO5" s="43"/>
      <c r="BP5" s="43"/>
      <c r="BQ5" s="43"/>
      <c r="BR5" s="43"/>
      <c r="BS5" s="43"/>
      <c r="BT5" s="43"/>
      <c r="BU5" s="19"/>
      <c r="BV5" s="18"/>
      <c r="BW5" s="18"/>
      <c r="BX5" s="44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70"/>
      <c r="DN5" s="71"/>
      <c r="DO5" s="71"/>
      <c r="DP5" s="71"/>
      <c r="DQ5" s="71"/>
      <c r="DR5" s="71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</row>
    <row r="6" spans="1:95" ht="12.75" customHeight="1" thickTop="1">
      <c r="A6" s="262"/>
      <c r="B6" s="20" t="s">
        <v>68</v>
      </c>
      <c r="C6" s="21" t="s">
        <v>69</v>
      </c>
      <c r="D6" s="327" t="s">
        <v>67</v>
      </c>
      <c r="E6" s="327"/>
      <c r="F6" s="22"/>
      <c r="G6" s="286"/>
      <c r="H6" s="209" t="str">
        <f>IF(C6="Motor","Motor Kw","Total Load")</f>
        <v>Total Load</v>
      </c>
      <c r="I6" s="65">
        <f>C7</f>
        <v>24000</v>
      </c>
      <c r="J6" s="34" t="s">
        <v>7</v>
      </c>
      <c r="K6" s="270"/>
      <c r="L6" s="221"/>
      <c r="M6" s="240"/>
      <c r="N6" s="236"/>
      <c r="O6" s="222"/>
      <c r="P6" s="39"/>
      <c r="Q6" s="39"/>
      <c r="R6" s="216">
        <v>2</v>
      </c>
      <c r="S6" s="39"/>
      <c r="T6" s="272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72"/>
      <c r="AX6" s="272"/>
      <c r="AY6" s="247"/>
      <c r="AZ6" s="273"/>
      <c r="BA6" s="273"/>
      <c r="BB6" s="273"/>
      <c r="BC6" s="273"/>
      <c r="BD6" s="273"/>
      <c r="BE6" s="273"/>
      <c r="BF6" s="273"/>
      <c r="BG6" s="273"/>
      <c r="BH6" s="273"/>
      <c r="BI6" s="247"/>
      <c r="BJ6" s="274"/>
      <c r="BK6" s="274"/>
      <c r="BX6" s="44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</row>
    <row r="7" spans="1:95" ht="12.75" customHeight="1">
      <c r="A7" s="262"/>
      <c r="B7" s="23" t="str">
        <f>IF(R6=1,"Motor Rating"," Toal Electrical Load")</f>
        <v> Toal Electrical Load</v>
      </c>
      <c r="C7" s="14">
        <v>24000</v>
      </c>
      <c r="D7" s="24" t="str">
        <f>IF(R6=1,"Kw","Kw")</f>
        <v>Kw</v>
      </c>
      <c r="E7" s="25"/>
      <c r="F7" s="26"/>
      <c r="G7" s="266"/>
      <c r="H7" s="35" t="s">
        <v>11</v>
      </c>
      <c r="I7" s="8">
        <f>C12</f>
        <v>1</v>
      </c>
      <c r="J7" s="36"/>
      <c r="K7" s="270"/>
      <c r="L7" s="224"/>
      <c r="M7" s="244" t="s">
        <v>560</v>
      </c>
      <c r="N7" s="232" t="str">
        <f>IF(I30&lt;C28,IF(J29="","O.K","Not Proper"),"Not Proper")</f>
        <v>O.K</v>
      </c>
      <c r="O7" s="229"/>
      <c r="P7" s="39">
        <f>IF(N7="O.K",1,0)</f>
        <v>1</v>
      </c>
      <c r="Q7" s="39"/>
      <c r="R7" s="39"/>
      <c r="S7" s="39"/>
      <c r="T7" s="272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72"/>
      <c r="AX7" s="272"/>
      <c r="AY7" s="247"/>
      <c r="AZ7" s="273"/>
      <c r="BA7" s="273"/>
      <c r="BB7" s="273"/>
      <c r="BC7" s="273"/>
      <c r="BD7" s="273"/>
      <c r="BE7" s="273"/>
      <c r="BF7" s="273"/>
      <c r="BG7" s="273"/>
      <c r="BH7" s="273"/>
      <c r="BI7" s="247"/>
      <c r="BJ7" s="274"/>
      <c r="BK7" s="274"/>
      <c r="BX7" s="44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</row>
    <row r="8" spans="1:95" ht="12.75" customHeight="1">
      <c r="A8" s="262"/>
      <c r="B8" s="23">
        <f>IF(R6=1,"Motor Starter","")</f>
      </c>
      <c r="C8" s="12" t="s">
        <v>64</v>
      </c>
      <c r="D8" s="27"/>
      <c r="E8" s="25"/>
      <c r="F8" s="26"/>
      <c r="G8" s="266"/>
      <c r="H8" s="35" t="s">
        <v>10</v>
      </c>
      <c r="I8" s="210">
        <f>IF(R6=1,(I6*I7*(C11/100)),(I6*I7))</f>
        <v>24000</v>
      </c>
      <c r="J8" s="36" t="s">
        <v>7</v>
      </c>
      <c r="K8" s="270"/>
      <c r="L8" s="224"/>
      <c r="M8" s="244" t="s">
        <v>559</v>
      </c>
      <c r="N8" s="232" t="str">
        <f>IF(J29="","O.K","Not Proper")</f>
        <v>O.K</v>
      </c>
      <c r="O8" s="229"/>
      <c r="P8" s="39">
        <f>IF(N8="O.K",1,0)</f>
        <v>1</v>
      </c>
      <c r="Q8" s="39"/>
      <c r="R8" s="39"/>
      <c r="S8" s="217" t="b">
        <f>AND(P7,P8,P9,P10,P12)</f>
        <v>1</v>
      </c>
      <c r="T8" s="272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72"/>
      <c r="AX8" s="272"/>
      <c r="AY8" s="247"/>
      <c r="AZ8" s="273"/>
      <c r="BA8" s="273"/>
      <c r="BB8" s="273"/>
      <c r="BC8" s="273"/>
      <c r="BD8" s="273"/>
      <c r="BE8" s="273"/>
      <c r="BF8" s="273"/>
      <c r="BG8" s="273"/>
      <c r="BH8" s="273"/>
      <c r="BI8" s="247"/>
      <c r="BJ8" s="274"/>
      <c r="BK8" s="274"/>
      <c r="BX8" s="44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</row>
    <row r="9" spans="1:95" ht="12.75" customHeight="1">
      <c r="A9" s="262"/>
      <c r="B9" s="23">
        <f>IF(R6=1,"Motor Starting P.F (Assume)","")</f>
      </c>
      <c r="C9" s="12">
        <v>0.75</v>
      </c>
      <c r="D9" s="27"/>
      <c r="E9" s="25"/>
      <c r="F9" s="26"/>
      <c r="G9" s="266"/>
      <c r="H9" s="35" t="s">
        <v>142</v>
      </c>
      <c r="I9" s="51">
        <f>C9</f>
        <v>0.75</v>
      </c>
      <c r="J9" s="36"/>
      <c r="K9" s="270"/>
      <c r="L9" s="224"/>
      <c r="M9" s="244" t="s">
        <v>562</v>
      </c>
      <c r="N9" s="232">
        <f>IF(C16="","",IF(I34="","",IF(Q34&lt;=0,"Less","O.K")))</f>
      </c>
      <c r="O9" s="229"/>
      <c r="P9" s="39">
        <f>IF(N9="O.K",1,IF(N9="",1,0))</f>
        <v>1</v>
      </c>
      <c r="Q9" s="39"/>
      <c r="R9" s="39"/>
      <c r="S9" s="39"/>
      <c r="T9" s="272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72"/>
      <c r="AX9" s="272"/>
      <c r="AY9" s="247"/>
      <c r="AZ9" s="273"/>
      <c r="BA9" s="273"/>
      <c r="BB9" s="273"/>
      <c r="BC9" s="273"/>
      <c r="BD9" s="273"/>
      <c r="BE9" s="273"/>
      <c r="BF9" s="273"/>
      <c r="BG9" s="273"/>
      <c r="BH9" s="273"/>
      <c r="BI9" s="247"/>
      <c r="BJ9" s="274"/>
      <c r="BK9" s="274"/>
      <c r="BX9" s="44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</row>
    <row r="10" spans="1:95" ht="12.75" customHeight="1">
      <c r="A10" s="262"/>
      <c r="B10" s="23">
        <f>IF(R6=1,"Motor Running P.F","")</f>
      </c>
      <c r="C10" s="12">
        <v>0.75</v>
      </c>
      <c r="D10" s="28"/>
      <c r="E10" s="25"/>
      <c r="F10" s="26"/>
      <c r="G10" s="266"/>
      <c r="H10" s="35" t="s">
        <v>12</v>
      </c>
      <c r="I10" s="9">
        <f>SIN(ACOS(I9))</f>
        <v>0.6614378277661476</v>
      </c>
      <c r="J10" s="36"/>
      <c r="K10" s="270"/>
      <c r="L10" s="224"/>
      <c r="M10" s="244" t="s">
        <v>561</v>
      </c>
      <c r="N10" s="232" t="str">
        <f>IF(I30&lt;C28,"Whithin Limit","High")</f>
        <v>Whithin Limit</v>
      </c>
      <c r="O10" s="229"/>
      <c r="P10" s="39">
        <f>IF(N10="Whithin Limit",1,0)</f>
        <v>1</v>
      </c>
      <c r="Q10" s="39"/>
      <c r="R10" s="39"/>
      <c r="S10" s="39"/>
      <c r="T10" s="272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72"/>
      <c r="AX10" s="272"/>
      <c r="AY10" s="247"/>
      <c r="AZ10" s="273"/>
      <c r="BA10" s="273"/>
      <c r="BB10" s="273"/>
      <c r="BC10" s="273"/>
      <c r="BD10" s="273"/>
      <c r="BE10" s="273"/>
      <c r="BF10" s="273"/>
      <c r="BG10" s="273"/>
      <c r="BH10" s="273"/>
      <c r="BI10" s="247"/>
      <c r="BJ10" s="274"/>
      <c r="BK10" s="274"/>
      <c r="BX10" s="44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</row>
    <row r="11" spans="1:95" ht="12.75" customHeight="1">
      <c r="A11" s="262"/>
      <c r="B11" s="23">
        <f>IF(R6=1,"Motor Full Load Efficiency","")</f>
      </c>
      <c r="C11" s="12">
        <v>80</v>
      </c>
      <c r="D11" s="24">
        <f>IF(R6=1,"%","")</f>
      </c>
      <c r="E11" s="25"/>
      <c r="F11" s="26"/>
      <c r="G11" s="266"/>
      <c r="H11" s="35" t="s">
        <v>19</v>
      </c>
      <c r="I11" s="9">
        <f>IF(R6=1,C10,C15)</f>
        <v>0.9</v>
      </c>
      <c r="J11" s="36"/>
      <c r="K11" s="270"/>
      <c r="L11" s="224"/>
      <c r="M11" s="243">
        <f>IF(H35="","","Motor Starting Voltage Drop")</f>
      </c>
      <c r="N11" s="232">
        <f>IF(B29="","",IF(I35&lt;C29,"Whithin Limit","High"))</f>
      </c>
      <c r="O11" s="230"/>
      <c r="P11" s="39">
        <f>IF(N11="",1,IF(N11="Whithin Limit",1,0))</f>
        <v>1</v>
      </c>
      <c r="Q11" s="39"/>
      <c r="R11" s="39"/>
      <c r="S11" s="39"/>
      <c r="T11" s="272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72"/>
      <c r="AX11" s="272"/>
      <c r="AY11" s="276"/>
      <c r="AZ11" s="295"/>
      <c r="BA11" s="295"/>
      <c r="BB11" s="295"/>
      <c r="BC11" s="295"/>
      <c r="BD11" s="295"/>
      <c r="BE11" s="273"/>
      <c r="BF11" s="273"/>
      <c r="BG11" s="273"/>
      <c r="BH11" s="273"/>
      <c r="BI11" s="247"/>
      <c r="BJ11" s="274"/>
      <c r="BK11" s="27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</row>
    <row r="12" spans="1:95" ht="12.75" customHeight="1">
      <c r="A12" s="262"/>
      <c r="B12" s="23" t="s">
        <v>41</v>
      </c>
      <c r="C12" s="12">
        <v>1</v>
      </c>
      <c r="D12" s="51"/>
      <c r="E12" s="51"/>
      <c r="F12" s="29"/>
      <c r="G12" s="270"/>
      <c r="H12" s="35" t="s">
        <v>8</v>
      </c>
      <c r="I12" s="9">
        <f>SIN(ACOS(I11))</f>
        <v>0.4358898943540673</v>
      </c>
      <c r="J12" s="36"/>
      <c r="K12" s="270"/>
      <c r="L12" s="224"/>
      <c r="M12" s="243">
        <f>IF(R4=TRUE," Cable Size Selection","")</f>
      </c>
      <c r="N12" s="243">
        <f>IF(R4=TRUE,"Not Proper","")</f>
      </c>
      <c r="O12" s="237"/>
      <c r="P12" s="39">
        <f>IF(N12="",1,0)</f>
        <v>1</v>
      </c>
      <c r="Q12" s="39"/>
      <c r="R12" s="47"/>
      <c r="S12" s="39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47"/>
      <c r="AU12" s="247"/>
      <c r="AV12" s="247"/>
      <c r="AW12" s="272"/>
      <c r="AX12" s="272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2"/>
      <c r="BJ12" s="274"/>
      <c r="BK12" s="27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</row>
    <row r="13" spans="1:95" ht="12.75" customHeight="1">
      <c r="A13" s="262"/>
      <c r="B13" s="23" t="s">
        <v>53</v>
      </c>
      <c r="C13" s="12">
        <v>20000</v>
      </c>
      <c r="D13" s="51" t="s">
        <v>5</v>
      </c>
      <c r="E13" s="57" t="s">
        <v>23</v>
      </c>
      <c r="F13" s="26"/>
      <c r="G13" s="266"/>
      <c r="H13" s="35" t="s">
        <v>13</v>
      </c>
      <c r="I13" s="9">
        <f>(I8/I11)</f>
        <v>26666.666666666664</v>
      </c>
      <c r="J13" s="36" t="s">
        <v>18</v>
      </c>
      <c r="K13" s="270"/>
      <c r="L13" s="224"/>
      <c r="M13" s="314">
        <f>IF(S8=TRUE,"","Required Action:")</f>
      </c>
      <c r="N13" s="314"/>
      <c r="O13" s="230"/>
      <c r="P13" s="39"/>
      <c r="Q13" s="39"/>
      <c r="R13" s="48"/>
      <c r="S13" s="215"/>
      <c r="T13" s="291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72"/>
      <c r="AX13" s="272"/>
      <c r="AY13" s="276"/>
      <c r="AZ13" s="273"/>
      <c r="BA13" s="273"/>
      <c r="BB13" s="273"/>
      <c r="BC13" s="273"/>
      <c r="BD13" s="273"/>
      <c r="BE13" s="273"/>
      <c r="BF13" s="273"/>
      <c r="BG13" s="273"/>
      <c r="BH13" s="273"/>
      <c r="BI13" s="247"/>
      <c r="BJ13" s="274"/>
      <c r="BK13" s="27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</row>
    <row r="14" spans="1:95" ht="12.75" customHeight="1">
      <c r="A14" s="262"/>
      <c r="B14" s="23" t="s">
        <v>54</v>
      </c>
      <c r="C14" s="10">
        <f>IF(E13="3 Ph",(C13/1.732),C13)</f>
        <v>11547.344110854503</v>
      </c>
      <c r="D14" s="51" t="s">
        <v>5</v>
      </c>
      <c r="E14" s="211">
        <f>IF(E13="3 Ph",1.732,2)</f>
        <v>1.732</v>
      </c>
      <c r="F14" s="30"/>
      <c r="G14" s="266"/>
      <c r="H14" s="35">
        <f>IF(R6=1,"Starting Current","")</f>
      </c>
      <c r="I14" s="9">
        <f>IF(R6=1,IF(C8="Dol",10*I15,IF(C8="Y-D",3*I15,IF(C8="Auto Tra",4*I15,IF(C8="Soft",1.2*I15,2*I15)))),"")</f>
      </c>
      <c r="J14" s="36">
        <f>IF(H14="","","Amp")</f>
      </c>
      <c r="K14" s="270"/>
      <c r="L14" s="224"/>
      <c r="M14" s="313">
        <f>IF(P8=0,"Increase No of Cable or Select Higher Capacity of Cable","")</f>
      </c>
      <c r="N14" s="313"/>
      <c r="O14" s="238"/>
      <c r="P14" s="39"/>
      <c r="Q14" s="39"/>
      <c r="R14" s="48"/>
      <c r="S14" s="39"/>
      <c r="T14" s="291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72"/>
      <c r="AX14" s="272"/>
      <c r="AY14" s="276"/>
      <c r="AZ14" s="273"/>
      <c r="BA14" s="273"/>
      <c r="BB14" s="273"/>
      <c r="BC14" s="273"/>
      <c r="BD14" s="273"/>
      <c r="BE14" s="273"/>
      <c r="BF14" s="273"/>
      <c r="BG14" s="273"/>
      <c r="BH14" s="273"/>
      <c r="BI14" s="247"/>
      <c r="BJ14" s="296"/>
      <c r="BK14" s="296"/>
      <c r="BL14" s="49"/>
      <c r="BM14" s="49"/>
      <c r="BN14" s="49"/>
      <c r="BO14" s="49"/>
      <c r="BP14" s="49"/>
      <c r="BQ14" s="49"/>
      <c r="BR14" s="49"/>
      <c r="BS14" s="49"/>
      <c r="BT14" s="49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</row>
    <row r="15" spans="1:95" ht="12.75" customHeight="1">
      <c r="A15" s="262"/>
      <c r="B15" s="23" t="str">
        <f>IF(C6="Motor","","P.F")</f>
        <v>P.F</v>
      </c>
      <c r="C15" s="13">
        <v>0.9</v>
      </c>
      <c r="D15" s="51"/>
      <c r="E15" s="25"/>
      <c r="F15" s="26"/>
      <c r="G15" s="266"/>
      <c r="H15" s="35" t="s">
        <v>9</v>
      </c>
      <c r="I15" s="210">
        <f>IF(E13="3 Ph",((I13*1000)/(1.732*C13)),((I13*1000)/(1*C13)))</f>
        <v>769.8229407236335</v>
      </c>
      <c r="J15" s="309" t="s">
        <v>0</v>
      </c>
      <c r="K15" s="270"/>
      <c r="L15" s="224"/>
      <c r="M15" s="313">
        <f>IF(P9=0,"Select Higher Capacity of Cable to meet S.C Level","")</f>
      </c>
      <c r="N15" s="313"/>
      <c r="O15" s="238"/>
      <c r="P15" s="39"/>
      <c r="Q15" s="39"/>
      <c r="R15" s="48"/>
      <c r="S15" s="39"/>
      <c r="T15" s="291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72"/>
      <c r="AX15" s="272"/>
      <c r="AY15" s="273"/>
      <c r="AZ15" s="273"/>
      <c r="BA15" s="273"/>
      <c r="BB15" s="273"/>
      <c r="BC15" s="273"/>
      <c r="BD15" s="273"/>
      <c r="BE15" s="273"/>
      <c r="BF15" s="273"/>
      <c r="BG15" s="273"/>
      <c r="BH15" s="273"/>
      <c r="BI15" s="247"/>
      <c r="BJ15" s="296"/>
      <c r="BK15" s="296"/>
      <c r="BL15" s="49"/>
      <c r="BM15" s="49"/>
      <c r="BN15" s="49"/>
      <c r="BO15" s="49"/>
      <c r="BP15" s="49"/>
      <c r="BQ15" s="49"/>
      <c r="BR15" s="49"/>
      <c r="BS15" s="49"/>
      <c r="BT15" s="49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</row>
    <row r="16" spans="1:95" ht="12.75" customHeight="1">
      <c r="A16" s="262"/>
      <c r="B16" s="23" t="s">
        <v>134</v>
      </c>
      <c r="C16" s="13"/>
      <c r="D16" s="51" t="s">
        <v>135</v>
      </c>
      <c r="E16" s="25"/>
      <c r="F16" s="26"/>
      <c r="G16" s="266"/>
      <c r="H16" s="35"/>
      <c r="I16" s="32"/>
      <c r="J16" s="36"/>
      <c r="K16" s="270"/>
      <c r="L16" s="224"/>
      <c r="M16" s="313">
        <f>IF(P10=0,"Select Higher Size of Cable to reduce Voltage Drop","")</f>
      </c>
      <c r="N16" s="313"/>
      <c r="O16" s="238"/>
      <c r="P16" s="39"/>
      <c r="Q16" s="39"/>
      <c r="R16" s="48"/>
      <c r="S16" s="39"/>
      <c r="T16" s="291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72"/>
      <c r="AX16" s="272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47"/>
      <c r="BJ16" s="296"/>
      <c r="BK16" s="296"/>
      <c r="BL16" s="49"/>
      <c r="BM16" s="49"/>
      <c r="BN16" s="49"/>
      <c r="BO16" s="49"/>
      <c r="BP16" s="49"/>
      <c r="BQ16" s="49"/>
      <c r="BR16" s="49"/>
      <c r="BS16" s="49"/>
      <c r="BT16" s="49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</row>
    <row r="17" spans="1:95" ht="12.75" customHeight="1">
      <c r="A17" s="262"/>
      <c r="B17" s="23" t="s">
        <v>40</v>
      </c>
      <c r="C17" s="12" t="s">
        <v>51</v>
      </c>
      <c r="D17" s="51">
        <f>IF(C17="Air",1,IF(C17="Ground",2,3))</f>
        <v>2</v>
      </c>
      <c r="E17" s="25">
        <f>IF(D17=2,2,1)</f>
        <v>2</v>
      </c>
      <c r="F17" s="26"/>
      <c r="G17" s="266"/>
      <c r="H17" s="35" t="s">
        <v>40</v>
      </c>
      <c r="I17" s="32" t="str">
        <f>C17</f>
        <v>Ground</v>
      </c>
      <c r="J17" s="36"/>
      <c r="K17" s="270"/>
      <c r="L17" s="224"/>
      <c r="M17" s="313">
        <f>IF(P12=0,"Select Proper Size of Cable","")</f>
      </c>
      <c r="N17" s="313"/>
      <c r="O17" s="238"/>
      <c r="P17" s="39"/>
      <c r="Q17" s="39"/>
      <c r="R17" s="48"/>
      <c r="S17" s="39"/>
      <c r="T17" s="291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72"/>
      <c r="AX17" s="272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47"/>
      <c r="BJ17" s="296"/>
      <c r="BK17" s="296"/>
      <c r="BL17" s="49"/>
      <c r="BM17" s="49"/>
      <c r="BN17" s="49"/>
      <c r="BO17" s="49"/>
      <c r="BP17" s="49"/>
      <c r="BQ17" s="49"/>
      <c r="BR17" s="49"/>
      <c r="BS17" s="49"/>
      <c r="BT17" s="49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</row>
    <row r="18" spans="1:95" ht="12.75" customHeight="1">
      <c r="A18" s="262"/>
      <c r="B18" s="23" t="str">
        <f>IF(D17=2,"Ground Temperature (K2)","Air Temperature (K1)")</f>
        <v>Ground Temperature (K2)</v>
      </c>
      <c r="C18" s="52">
        <v>30</v>
      </c>
      <c r="D18" s="53" t="s">
        <v>128</v>
      </c>
      <c r="E18" s="25"/>
      <c r="F18" s="26"/>
      <c r="G18" s="266"/>
      <c r="H18" s="35">
        <f>IF(D17=2,"","Ambient Temp. Correction Factor (K1)")</f>
      </c>
      <c r="I18" s="9">
        <f>IF(D17=2,"",VLOOKUP(C18,temp,IF(C27="PVC Flexible (Up to 1.1 KV)",2,IF(C27="LT PVC (Up to 1.1 KV)",3,IF(C27="LT XLPE (Up to 1.1 KV)",4,5)))))</f>
      </c>
      <c r="J18" s="36"/>
      <c r="K18" s="270"/>
      <c r="L18" s="224"/>
      <c r="M18" s="313">
        <f>IF(P11=0,"Select Other Type of Motor Starter","")</f>
      </c>
      <c r="N18" s="313"/>
      <c r="O18" s="230"/>
      <c r="P18" s="39"/>
      <c r="Q18" s="39"/>
      <c r="R18" s="48"/>
      <c r="S18" s="39"/>
      <c r="T18" s="291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72"/>
      <c r="AX18" s="272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47"/>
      <c r="BJ18" s="296"/>
      <c r="BK18" s="296"/>
      <c r="BL18" s="49"/>
      <c r="BM18" s="49"/>
      <c r="BN18" s="49"/>
      <c r="BO18" s="49"/>
      <c r="BP18" s="49"/>
      <c r="BQ18" s="49"/>
      <c r="BR18" s="49"/>
      <c r="BS18" s="49"/>
      <c r="BT18" s="49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</row>
    <row r="19" spans="1:95" ht="12.75" customHeight="1" thickBot="1">
      <c r="A19" s="262"/>
      <c r="B19" s="23" t="str">
        <f>IF(D17=2,"No of Trench","No of Tray")</f>
        <v>No of Trench</v>
      </c>
      <c r="C19" s="12">
        <v>1</v>
      </c>
      <c r="D19" s="51"/>
      <c r="E19" s="25"/>
      <c r="F19" s="26"/>
      <c r="G19" s="266"/>
      <c r="H19" s="35">
        <f>IF(D17=2,"","Group Correction Factor for Air (K5)")</f>
      </c>
      <c r="I19" s="9">
        <f>IF(D17=2,"",VLOOKUP(C20,tr,IF(C19=1,2,IF(C19=2,3,IF(C19=3,4,IF(C19=4,5,IF(C19=6,6,7))))),0))</f>
      </c>
      <c r="J19" s="36"/>
      <c r="K19" s="270"/>
      <c r="L19" s="224"/>
      <c r="M19" s="242"/>
      <c r="N19" s="232"/>
      <c r="O19" s="230"/>
      <c r="P19" s="39"/>
      <c r="Q19" s="39"/>
      <c r="R19" s="48"/>
      <c r="S19" s="39"/>
      <c r="T19" s="291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72"/>
      <c r="AX19" s="272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47"/>
      <c r="BJ19" s="296"/>
      <c r="BK19" s="296"/>
      <c r="BL19" s="49"/>
      <c r="BM19" s="49"/>
      <c r="BN19" s="49"/>
      <c r="BO19" s="49"/>
      <c r="BP19" s="49"/>
      <c r="BQ19" s="49"/>
      <c r="BR19" s="49"/>
      <c r="BS19" s="49"/>
      <c r="BT19" s="49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</row>
    <row r="20" spans="1:95" ht="12.75" customHeight="1" thickTop="1">
      <c r="A20" s="262"/>
      <c r="B20" s="23" t="str">
        <f>IF(D17=2,"No of Cable/Trench","No of Cable/Tray")</f>
        <v>No of Cable/Trench</v>
      </c>
      <c r="C20" s="14">
        <v>1</v>
      </c>
      <c r="D20" s="51"/>
      <c r="E20" s="25"/>
      <c r="F20" s="26"/>
      <c r="G20" s="266"/>
      <c r="H20" s="35" t="str">
        <f>IF(D17=2,"Ground Temp. Correction Factor (K2)","")</f>
        <v>Ground Temp. Correction Factor (K2)</v>
      </c>
      <c r="I20" s="9">
        <f>IF(D17=2,VLOOKUP(C18,gr,IF(C27="PVC Flexible (Up to 1.1 KV)",2,IF(C27="LT PVC (Up to 1.1 KV)",2,3))),"")</f>
        <v>0.93</v>
      </c>
      <c r="J20" s="36"/>
      <c r="K20" s="270"/>
      <c r="L20" s="224"/>
      <c r="M20" s="328" t="str">
        <f>IF(S8=TRUE,"Cable Selection is Proper","Cable Selection is Not Proper")</f>
        <v>Cable Selection is Proper</v>
      </c>
      <c r="N20" s="329"/>
      <c r="O20" s="230"/>
      <c r="P20" s="39"/>
      <c r="Q20" s="39"/>
      <c r="R20" s="48"/>
      <c r="S20" s="39"/>
      <c r="T20" s="291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72"/>
      <c r="AX20" s="272"/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247"/>
      <c r="BJ20" s="296"/>
      <c r="BK20" s="296"/>
      <c r="BL20" s="49"/>
      <c r="BM20" s="49"/>
      <c r="BN20" s="49"/>
      <c r="BO20" s="49"/>
      <c r="BP20" s="49"/>
      <c r="BQ20" s="49"/>
      <c r="BR20" s="49"/>
      <c r="BS20" s="49"/>
      <c r="BT20" s="49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</row>
    <row r="21" spans="1:95" ht="12.75" customHeight="1">
      <c r="A21" s="262"/>
      <c r="B21" s="31" t="s">
        <v>59</v>
      </c>
      <c r="C21" s="12" t="s">
        <v>56</v>
      </c>
      <c r="D21" s="51"/>
      <c r="E21" s="25"/>
      <c r="F21" s="26"/>
      <c r="G21" s="266"/>
      <c r="H21" s="35" t="str">
        <f>IF(D17=2,"Soil Correction Factor for Air (K3)","")</f>
        <v>Soil Correction Factor for Air (K3)</v>
      </c>
      <c r="I21" s="9">
        <f>IF(D17=2,IF(C24="Not Known",VLOOKUP(C25,res2,2,0),VLOOKUP(C24,res1,2,0)),"")</f>
        <v>1.18</v>
      </c>
      <c r="J21" s="36"/>
      <c r="K21" s="270"/>
      <c r="L21" s="224"/>
      <c r="M21" s="330"/>
      <c r="N21" s="331"/>
      <c r="O21" s="223"/>
      <c r="P21" s="39"/>
      <c r="Q21" s="39"/>
      <c r="R21" s="48"/>
      <c r="S21" s="39"/>
      <c r="T21" s="291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72"/>
      <c r="AX21" s="272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47"/>
      <c r="BJ21" s="296"/>
      <c r="BK21" s="296"/>
      <c r="BL21" s="49"/>
      <c r="BM21" s="49"/>
      <c r="BN21" s="49"/>
      <c r="BO21" s="49"/>
      <c r="BP21" s="49"/>
      <c r="BQ21" s="49"/>
      <c r="BR21" s="49"/>
      <c r="BS21" s="49"/>
      <c r="BT21" s="49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</row>
    <row r="22" spans="1:95" ht="12.75" customHeight="1">
      <c r="A22" s="262"/>
      <c r="B22" s="31" t="s">
        <v>139</v>
      </c>
      <c r="C22" s="12">
        <v>1</v>
      </c>
      <c r="D22" s="51"/>
      <c r="E22" s="25"/>
      <c r="F22" s="26"/>
      <c r="G22" s="266"/>
      <c r="H22" s="35" t="str">
        <f>IF(D17=2,"Group Factor for Ground (K4)","")</f>
        <v>Group Factor for Ground (K4)</v>
      </c>
      <c r="I22" s="9">
        <f>IF(D17=2,VLOOKUP(C20,grd,IF(C21="Nill",2,IF(C21="Cable Dia",3,IF(C21="0.125 mt",4,IF(C21="0.25 mt",5,6))))),"")</f>
        <v>1</v>
      </c>
      <c r="J22" s="36"/>
      <c r="K22" s="270"/>
      <c r="L22" s="224"/>
      <c r="M22" s="330"/>
      <c r="N22" s="331"/>
      <c r="O22" s="223"/>
      <c r="P22" s="39"/>
      <c r="Q22" s="39"/>
      <c r="R22" s="48"/>
      <c r="S22" s="39"/>
      <c r="T22" s="291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72"/>
      <c r="AX22" s="272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47"/>
      <c r="BJ22" s="296"/>
      <c r="BK22" s="296"/>
      <c r="BL22" s="49"/>
      <c r="BM22" s="49"/>
      <c r="BN22" s="49"/>
      <c r="BO22" s="49"/>
      <c r="BP22" s="49"/>
      <c r="BQ22" s="49"/>
      <c r="BR22" s="49"/>
      <c r="BS22" s="49"/>
      <c r="BT22" s="49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</row>
    <row r="23" spans="1:95" ht="12.75" customHeight="1" thickBot="1">
      <c r="A23" s="262"/>
      <c r="B23" s="31" t="str">
        <f>IF(D17=2,"Cable Laying on The Depth of","")</f>
        <v>Cable Laying on The Depth of</v>
      </c>
      <c r="C23" s="12">
        <v>1</v>
      </c>
      <c r="D23" s="51" t="s">
        <v>49</v>
      </c>
      <c r="E23" s="25"/>
      <c r="F23" s="26"/>
      <c r="G23" s="266"/>
      <c r="H23" s="35" t="str">
        <f>IF(D17=2,"Cable Laying Depth Factor (K5)","")</f>
        <v>Cable Laying Depth Factor (K5)</v>
      </c>
      <c r="I23" s="9">
        <f>IF(H23="","",VLOOKUP(C23,hihi,2,0))</f>
        <v>1</v>
      </c>
      <c r="J23" s="36"/>
      <c r="K23" s="270"/>
      <c r="L23" s="224"/>
      <c r="M23" s="332"/>
      <c r="N23" s="333"/>
      <c r="O23" s="223"/>
      <c r="P23" s="39"/>
      <c r="Q23" s="39"/>
      <c r="R23" s="48"/>
      <c r="S23" s="39"/>
      <c r="T23" s="291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72"/>
      <c r="AX23" s="272"/>
      <c r="AY23" s="273"/>
      <c r="AZ23" s="273"/>
      <c r="BA23" s="273"/>
      <c r="BB23" s="273"/>
      <c r="BC23" s="273"/>
      <c r="BD23" s="273"/>
      <c r="BE23" s="273"/>
      <c r="BF23" s="273"/>
      <c r="BG23" s="273"/>
      <c r="BH23" s="273"/>
      <c r="BI23" s="247"/>
      <c r="BJ23" s="296"/>
      <c r="BK23" s="296"/>
      <c r="BL23" s="49"/>
      <c r="BM23" s="49"/>
      <c r="BN23" s="49"/>
      <c r="BO23" s="49"/>
      <c r="BP23" s="49"/>
      <c r="BQ23" s="49"/>
      <c r="BR23" s="49"/>
      <c r="BS23" s="49"/>
      <c r="BT23" s="49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</row>
    <row r="24" spans="1:95" ht="12.75" customHeight="1" thickTop="1">
      <c r="A24" s="262"/>
      <c r="B24" s="31" t="str">
        <f>IF(D17=2,"Soil Thermal Resistiivty","")</f>
        <v>Soil Thermal Resistiivty</v>
      </c>
      <c r="C24" s="12">
        <v>1</v>
      </c>
      <c r="D24" s="51" t="str">
        <f>IF(D17=2,"Km/Watt","")</f>
        <v>Km/Watt</v>
      </c>
      <c r="E24" s="25"/>
      <c r="F24" s="26"/>
      <c r="G24" s="266"/>
      <c r="H24" s="35" t="s">
        <v>60</v>
      </c>
      <c r="I24" s="9">
        <f>IF(J24&lt;=1,J24,1)</f>
        <v>1</v>
      </c>
      <c r="J24" s="67">
        <f>IF(D17=2,(I22*I20*I21*I23),(I19*I18))</f>
        <v>1.0974</v>
      </c>
      <c r="K24" s="270"/>
      <c r="L24" s="224"/>
      <c r="M24" s="235"/>
      <c r="N24" s="231"/>
      <c r="O24" s="223"/>
      <c r="P24" s="39"/>
      <c r="Q24" s="39"/>
      <c r="R24" s="48"/>
      <c r="S24" s="39"/>
      <c r="T24" s="291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72"/>
      <c r="AX24" s="272"/>
      <c r="AY24" s="273"/>
      <c r="AZ24" s="273"/>
      <c r="BA24" s="273"/>
      <c r="BB24" s="273"/>
      <c r="BC24" s="273"/>
      <c r="BD24" s="273"/>
      <c r="BE24" s="273"/>
      <c r="BF24" s="273"/>
      <c r="BG24" s="273"/>
      <c r="BH24" s="273"/>
      <c r="BI24" s="247"/>
      <c r="BJ24" s="296"/>
      <c r="BK24" s="296"/>
      <c r="BL24" s="49"/>
      <c r="BM24" s="49"/>
      <c r="BN24" s="49"/>
      <c r="BO24" s="49"/>
      <c r="BP24" s="49"/>
      <c r="BQ24" s="49"/>
      <c r="BR24" s="49"/>
      <c r="BS24" s="49"/>
      <c r="BT24" s="49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</row>
    <row r="25" spans="1:95" ht="12.75" customHeight="1">
      <c r="A25" s="262"/>
      <c r="B25" s="31" t="str">
        <f>IF(D17=2,"Nature of Soil (k3)","")</f>
        <v>Nature of Soil (k3)</v>
      </c>
      <c r="C25" s="12" t="s">
        <v>35</v>
      </c>
      <c r="D25" s="51"/>
      <c r="E25" s="25"/>
      <c r="F25" s="26"/>
      <c r="G25" s="266"/>
      <c r="H25" s="35" t="s">
        <v>61</v>
      </c>
      <c r="I25" s="9">
        <f>IF(R4=TRUE,"",Sheet3!J33)</f>
        <v>0.0426</v>
      </c>
      <c r="J25" s="37" t="s">
        <v>20</v>
      </c>
      <c r="K25" s="270"/>
      <c r="L25" s="224"/>
      <c r="M25" s="315">
        <f>IF(M11="","",IF(P11=1,"Motor starter is Proper"," Motor Starter is not Proper"))</f>
      </c>
      <c r="N25" s="315"/>
      <c r="O25" s="223"/>
      <c r="P25" s="39"/>
      <c r="Q25" s="39"/>
      <c r="R25" s="48"/>
      <c r="S25" s="39"/>
      <c r="T25" s="291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72"/>
      <c r="AX25" s="272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47"/>
      <c r="BJ25" s="296"/>
      <c r="BK25" s="296"/>
      <c r="BL25" s="49"/>
      <c r="BM25" s="49"/>
      <c r="BN25" s="49"/>
      <c r="BO25" s="49"/>
      <c r="BP25" s="49"/>
      <c r="BQ25" s="49"/>
      <c r="BR25" s="49"/>
      <c r="BS25" s="49"/>
      <c r="BT25" s="49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</row>
    <row r="26" spans="1:95" ht="12.75" customHeight="1">
      <c r="A26" s="262"/>
      <c r="B26" s="31" t="s">
        <v>129</v>
      </c>
      <c r="C26" s="12">
        <v>1000</v>
      </c>
      <c r="D26" s="51" t="s">
        <v>49</v>
      </c>
      <c r="E26" s="25"/>
      <c r="F26" s="26"/>
      <c r="G26" s="266"/>
      <c r="H26" s="35" t="s">
        <v>62</v>
      </c>
      <c r="I26" s="33">
        <f>IF(R4=TRUE,"",Sheet3!K33)</f>
        <v>0.0875</v>
      </c>
      <c r="J26" s="38" t="s">
        <v>21</v>
      </c>
      <c r="K26" s="270"/>
      <c r="L26" s="224"/>
      <c r="M26" s="315"/>
      <c r="N26" s="315"/>
      <c r="O26" s="223"/>
      <c r="P26" s="39">
        <f>IF(M11="",3,IF(N11="Whithin Limit",1,2))</f>
        <v>3</v>
      </c>
      <c r="Q26" s="39"/>
      <c r="R26" s="48"/>
      <c r="S26" s="39"/>
      <c r="T26" s="291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72"/>
      <c r="AX26" s="272"/>
      <c r="AY26" s="273"/>
      <c r="AZ26" s="273"/>
      <c r="BA26" s="273"/>
      <c r="BB26" s="273"/>
      <c r="BC26" s="273"/>
      <c r="BD26" s="273"/>
      <c r="BE26" s="273"/>
      <c r="BF26" s="273"/>
      <c r="BG26" s="273"/>
      <c r="BH26" s="273"/>
      <c r="BI26" s="247"/>
      <c r="BJ26" s="296"/>
      <c r="BK26" s="296"/>
      <c r="BL26" s="49"/>
      <c r="BM26" s="49"/>
      <c r="BN26" s="49"/>
      <c r="BO26" s="49"/>
      <c r="BP26" s="49"/>
      <c r="BQ26" s="49"/>
      <c r="BR26" s="49"/>
      <c r="BS26" s="49"/>
      <c r="BT26" s="49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</row>
    <row r="27" spans="1:95" ht="12.75" customHeight="1">
      <c r="A27" s="262"/>
      <c r="B27" s="23" t="s">
        <v>14</v>
      </c>
      <c r="C27" s="12" t="s">
        <v>121</v>
      </c>
      <c r="D27" s="64" t="s">
        <v>346</v>
      </c>
      <c r="E27" s="12" t="s">
        <v>567</v>
      </c>
      <c r="F27" s="26"/>
      <c r="G27" s="266"/>
      <c r="H27" s="35" t="s">
        <v>132</v>
      </c>
      <c r="I27" s="9" t="str">
        <f>IF(R4=TRUE,"",Sheet3!L33)</f>
        <v> 790  </v>
      </c>
      <c r="J27" s="36" t="s">
        <v>0</v>
      </c>
      <c r="K27" s="270"/>
      <c r="L27" s="224"/>
      <c r="M27" s="315"/>
      <c r="N27" s="315"/>
      <c r="O27" s="223"/>
      <c r="P27" s="39">
        <f>IF(C16="",3,IF(N9="O.K",1,2))</f>
        <v>3</v>
      </c>
      <c r="Q27" s="39"/>
      <c r="R27" s="48"/>
      <c r="S27" s="39"/>
      <c r="T27" s="291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72"/>
      <c r="AX27" s="272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47"/>
      <c r="BJ27" s="296"/>
      <c r="BK27" s="296"/>
      <c r="BL27" s="49"/>
      <c r="BM27" s="49"/>
      <c r="BN27" s="49"/>
      <c r="BO27" s="49"/>
      <c r="BP27" s="49"/>
      <c r="BQ27" s="49"/>
      <c r="BR27" s="49"/>
      <c r="BS27" s="49"/>
      <c r="BT27" s="49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</row>
    <row r="28" spans="1:95" ht="12.75" customHeight="1">
      <c r="A28" s="262"/>
      <c r="B28" s="31" t="str">
        <f>IF(R6=1,"Allowable voltage drop at Running","Allowable voltage drop ")</f>
        <v>Allowable voltage drop </v>
      </c>
      <c r="C28" s="56">
        <v>2</v>
      </c>
      <c r="D28" s="123" t="s">
        <v>6</v>
      </c>
      <c r="E28" s="25"/>
      <c r="F28" s="26"/>
      <c r="G28" s="266"/>
      <c r="H28" s="35" t="s">
        <v>131</v>
      </c>
      <c r="I28" s="32">
        <f>IF(R4=TRUE,"",+I27*I24)</f>
        <v>790</v>
      </c>
      <c r="J28" s="36" t="s">
        <v>0</v>
      </c>
      <c r="K28" s="270"/>
      <c r="L28" s="224"/>
      <c r="M28" s="235"/>
      <c r="N28" s="231"/>
      <c r="O28" s="223"/>
      <c r="P28" s="39"/>
      <c r="Q28" s="39"/>
      <c r="R28" s="48"/>
      <c r="S28" s="39"/>
      <c r="T28" s="292"/>
      <c r="U28" s="293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72"/>
      <c r="AX28" s="272"/>
      <c r="AY28" s="247"/>
      <c r="AZ28" s="273"/>
      <c r="BA28" s="273"/>
      <c r="BB28" s="273"/>
      <c r="BC28" s="273"/>
      <c r="BD28" s="273"/>
      <c r="BE28" s="273"/>
      <c r="BF28" s="273"/>
      <c r="BG28" s="273"/>
      <c r="BH28" s="273"/>
      <c r="BI28" s="247"/>
      <c r="BJ28" s="274"/>
      <c r="BK28" s="27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</row>
    <row r="29" spans="1:95" ht="12.75" customHeight="1">
      <c r="A29" s="262"/>
      <c r="B29" s="23">
        <f>IF(R6=1,"Allowable voltage drop at Starting","")</f>
      </c>
      <c r="C29" s="12">
        <v>4</v>
      </c>
      <c r="D29" s="51">
        <f>IF(R6=1,"%","")</f>
      </c>
      <c r="E29" s="25"/>
      <c r="F29" s="26"/>
      <c r="G29" s="266"/>
      <c r="H29" s="35" t="s">
        <v>136</v>
      </c>
      <c r="I29" s="9">
        <f>IF(R4=TRUE,"",I15/I28)</f>
        <v>0.9744594186375107</v>
      </c>
      <c r="J29" s="214">
        <f>IF(I29&lt;=C22,"",I29)</f>
      </c>
      <c r="K29" s="270"/>
      <c r="L29" s="224"/>
      <c r="M29" s="235"/>
      <c r="N29" s="231"/>
      <c r="O29" s="223"/>
      <c r="P29" s="39"/>
      <c r="Q29" s="50">
        <f>IF(J29="",0,1)</f>
        <v>0</v>
      </c>
      <c r="R29" s="48"/>
      <c r="S29" s="39"/>
      <c r="T29" s="292"/>
      <c r="U29" s="294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72"/>
      <c r="AX29" s="272"/>
      <c r="AY29" s="247"/>
      <c r="AZ29" s="273"/>
      <c r="BA29" s="273"/>
      <c r="BB29" s="273"/>
      <c r="BC29" s="273"/>
      <c r="BD29" s="273"/>
      <c r="BE29" s="273"/>
      <c r="BF29" s="273"/>
      <c r="BG29" s="273"/>
      <c r="BH29" s="273"/>
      <c r="BI29" s="247"/>
      <c r="BJ29" s="274"/>
      <c r="BK29" s="27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</row>
    <row r="30" spans="1:95" ht="15" customHeight="1">
      <c r="A30" s="262"/>
      <c r="B30" s="31"/>
      <c r="C30" s="66"/>
      <c r="D30" s="66"/>
      <c r="E30" s="25"/>
      <c r="F30" s="26"/>
      <c r="G30" s="266"/>
      <c r="H30" s="152" t="str">
        <f>IF(R6=1,"Voltage Drop at Running","Voltage Drop")</f>
        <v>Voltage Drop</v>
      </c>
      <c r="I30" s="246">
        <f>IF(R4=TRUE,"",(E14*I15*((I11*I25)+(I26*I12))*C26*100)/(C13*C22*1000))</f>
        <v>0.5098691050398724</v>
      </c>
      <c r="J30" s="124" t="s">
        <v>6</v>
      </c>
      <c r="K30" s="270"/>
      <c r="L30" s="224"/>
      <c r="M30" s="235"/>
      <c r="N30" s="311"/>
      <c r="O30" s="223"/>
      <c r="P30" s="39"/>
      <c r="Q30" s="39"/>
      <c r="R30" s="48"/>
      <c r="S30" s="39"/>
      <c r="T30" s="292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72"/>
      <c r="AX30" s="272"/>
      <c r="AY30" s="247"/>
      <c r="AZ30" s="273"/>
      <c r="BA30" s="273"/>
      <c r="BB30" s="273"/>
      <c r="BC30" s="273"/>
      <c r="BD30" s="273"/>
      <c r="BE30" s="273"/>
      <c r="BF30" s="273"/>
      <c r="BG30" s="273"/>
      <c r="BH30" s="273"/>
      <c r="BI30" s="247"/>
      <c r="BJ30" s="274"/>
      <c r="BK30" s="27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</row>
    <row r="31" spans="1:95" ht="12.75" customHeight="1" thickBot="1">
      <c r="A31" s="262"/>
      <c r="B31" s="58"/>
      <c r="C31" s="59"/>
      <c r="D31" s="60"/>
      <c r="E31" s="61"/>
      <c r="F31" s="62"/>
      <c r="G31" s="266"/>
      <c r="H31" s="35" t="s">
        <v>133</v>
      </c>
      <c r="I31" s="9">
        <f>IF(R4=TRUE,"",(C13-(C13*(I30/100))))</f>
        <v>19898.026178992026</v>
      </c>
      <c r="J31" s="36" t="s">
        <v>5</v>
      </c>
      <c r="K31" s="270"/>
      <c r="L31" s="224"/>
      <c r="M31" s="235"/>
      <c r="N31" s="233"/>
      <c r="O31" s="225"/>
      <c r="P31" s="55"/>
      <c r="Q31" s="39"/>
      <c r="R31" s="48"/>
      <c r="S31" s="39"/>
      <c r="T31" s="292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72"/>
      <c r="AX31" s="272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47"/>
      <c r="BJ31" s="274"/>
      <c r="BK31" s="27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</row>
    <row r="32" spans="1:95" ht="12.75" customHeight="1" thickTop="1">
      <c r="A32" s="262"/>
      <c r="B32" s="263"/>
      <c r="C32" s="263"/>
      <c r="D32" s="263"/>
      <c r="E32" s="263"/>
      <c r="F32" s="263"/>
      <c r="G32" s="266"/>
      <c r="H32" s="35" t="str">
        <f>B28</f>
        <v>Allowable voltage drop </v>
      </c>
      <c r="I32" s="51">
        <f>C13*(C28/100)</f>
        <v>400</v>
      </c>
      <c r="J32" s="36" t="s">
        <v>5</v>
      </c>
      <c r="K32" s="270"/>
      <c r="L32" s="224"/>
      <c r="M32" s="235"/>
      <c r="N32" s="234"/>
      <c r="O32" s="226"/>
      <c r="P32" s="54"/>
      <c r="Q32" s="39"/>
      <c r="R32" s="39"/>
      <c r="S32" s="39"/>
      <c r="T32" s="292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72"/>
      <c r="AX32" s="272"/>
      <c r="AY32" s="247"/>
      <c r="AZ32" s="273"/>
      <c r="BA32" s="273"/>
      <c r="BB32" s="273"/>
      <c r="BC32" s="273"/>
      <c r="BD32" s="273"/>
      <c r="BE32" s="273"/>
      <c r="BF32" s="273"/>
      <c r="BG32" s="273"/>
      <c r="BH32" s="273"/>
      <c r="BI32" s="247"/>
      <c r="BJ32" s="274"/>
      <c r="BK32" s="27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</row>
    <row r="33" spans="1:95" ht="12.75" customHeight="1">
      <c r="A33" s="262"/>
      <c r="B33" s="268" t="s">
        <v>70</v>
      </c>
      <c r="C33" s="263"/>
      <c r="D33" s="263"/>
      <c r="E33" s="263"/>
      <c r="F33" s="263"/>
      <c r="G33" s="266"/>
      <c r="H33" s="35">
        <f>B29</f>
      </c>
      <c r="I33" s="51">
        <f>IF(H33="","",(C13*(C29/100)))</f>
      </c>
      <c r="J33" s="36">
        <f>IF(H33="","","Volt")</f>
      </c>
      <c r="K33" s="270"/>
      <c r="L33" s="224"/>
      <c r="M33" s="235"/>
      <c r="N33" s="234"/>
      <c r="O33" s="226"/>
      <c r="P33" s="54"/>
      <c r="Q33" s="39"/>
      <c r="R33" s="39"/>
      <c r="S33" s="39"/>
      <c r="T33" s="292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72"/>
      <c r="AX33" s="272"/>
      <c r="AY33" s="247"/>
      <c r="AZ33" s="273"/>
      <c r="BA33" s="273"/>
      <c r="BB33" s="273"/>
      <c r="BC33" s="273"/>
      <c r="BD33" s="273"/>
      <c r="BE33" s="273"/>
      <c r="BF33" s="273"/>
      <c r="BG33" s="273"/>
      <c r="BH33" s="273"/>
      <c r="BI33" s="247"/>
      <c r="BJ33" s="274"/>
      <c r="BK33" s="27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</row>
    <row r="34" spans="1:95" ht="12.75" customHeight="1">
      <c r="A34" s="262"/>
      <c r="B34" s="263" t="s">
        <v>140</v>
      </c>
      <c r="C34" s="263"/>
      <c r="D34" s="263"/>
      <c r="E34" s="263"/>
      <c r="F34" s="263"/>
      <c r="G34" s="266"/>
      <c r="H34" s="35" t="s">
        <v>138</v>
      </c>
      <c r="I34" s="9" t="str">
        <f>IF(R4=TRUE,"",Sheet3!N33)</f>
        <v> 143.00  </v>
      </c>
      <c r="J34" s="36" t="s">
        <v>135</v>
      </c>
      <c r="K34" s="270"/>
      <c r="L34" s="224"/>
      <c r="M34" s="235"/>
      <c r="N34" s="231"/>
      <c r="O34" s="223"/>
      <c r="P34" s="39"/>
      <c r="Q34" s="245">
        <f>IF(R4=TRUE,"",I34-C16)</f>
        <v>143</v>
      </c>
      <c r="R34" s="39"/>
      <c r="S34" s="39"/>
      <c r="T34" s="292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72"/>
      <c r="AX34" s="272"/>
      <c r="AY34" s="273"/>
      <c r="AZ34" s="273"/>
      <c r="BA34" s="273"/>
      <c r="BB34" s="273"/>
      <c r="BC34" s="273"/>
      <c r="BD34" s="273"/>
      <c r="BE34" s="273"/>
      <c r="BF34" s="273"/>
      <c r="BG34" s="273"/>
      <c r="BH34" s="273"/>
      <c r="BI34" s="247"/>
      <c r="BJ34" s="274"/>
      <c r="BK34" s="27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</row>
    <row r="35" spans="1:95" ht="15" customHeight="1" thickBot="1">
      <c r="A35" s="262"/>
      <c r="B35" s="323" t="s">
        <v>141</v>
      </c>
      <c r="C35" s="323"/>
      <c r="D35" s="265"/>
      <c r="E35" s="269">
        <f>IF(B29="",0,1)</f>
        <v>0</v>
      </c>
      <c r="F35" s="269"/>
      <c r="G35" s="266"/>
      <c r="H35" s="208">
        <f>IF(B29="","","Voltage Drop at Starting")</f>
      </c>
      <c r="I35" s="213">
        <f>IF(H35="","",(E14*I14*((I9*I25)+(I26*I10))*C26*100)/(C13*C22*1000))</f>
      </c>
      <c r="J35" s="63">
        <f>IF(H35="","","%")</f>
      </c>
      <c r="K35" s="270"/>
      <c r="L35" s="227"/>
      <c r="M35" s="241"/>
      <c r="N35" s="239"/>
      <c r="O35" s="228"/>
      <c r="P35" s="39"/>
      <c r="Q35" s="39"/>
      <c r="R35" s="39"/>
      <c r="S35" s="212"/>
      <c r="T35" s="271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73"/>
      <c r="AW35" s="272"/>
      <c r="AX35" s="272"/>
      <c r="AY35" s="247"/>
      <c r="AZ35" s="273"/>
      <c r="BA35" s="273"/>
      <c r="BB35" s="273"/>
      <c r="BC35" s="273"/>
      <c r="BD35" s="273"/>
      <c r="BE35" s="273"/>
      <c r="BF35" s="273"/>
      <c r="BG35" s="273"/>
      <c r="BH35" s="273"/>
      <c r="BI35" s="247"/>
      <c r="BJ35" s="274"/>
      <c r="BK35" s="27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</row>
    <row r="36" spans="1:95" ht="12.75" customHeight="1" thickTop="1">
      <c r="A36" s="262"/>
      <c r="B36" s="323"/>
      <c r="C36" s="323"/>
      <c r="D36" s="265"/>
      <c r="E36" s="269"/>
      <c r="F36" s="269"/>
      <c r="G36" s="269"/>
      <c r="H36" s="269"/>
      <c r="I36" s="269"/>
      <c r="J36" s="269"/>
      <c r="K36" s="270"/>
      <c r="L36" s="270"/>
      <c r="M36" s="270"/>
      <c r="N36" s="269"/>
      <c r="O36" s="269"/>
      <c r="P36" s="269"/>
      <c r="Q36" s="247"/>
      <c r="R36" s="247"/>
      <c r="S36" s="271"/>
      <c r="T36" s="271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72"/>
      <c r="AX36" s="272"/>
      <c r="AY36" s="247"/>
      <c r="AZ36" s="273"/>
      <c r="BA36" s="273"/>
      <c r="BB36" s="273"/>
      <c r="BC36" s="273"/>
      <c r="BD36" s="273"/>
      <c r="BE36" s="273"/>
      <c r="BF36" s="273"/>
      <c r="BG36" s="273"/>
      <c r="BH36" s="273"/>
      <c r="BI36" s="247"/>
      <c r="BJ36" s="274"/>
      <c r="BK36" s="27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</row>
    <row r="37" spans="1:95" ht="148.5" customHeight="1">
      <c r="A37" s="262"/>
      <c r="B37" s="263"/>
      <c r="C37" s="265"/>
      <c r="D37" s="265"/>
      <c r="E37" s="269"/>
      <c r="F37" s="269"/>
      <c r="G37" s="266"/>
      <c r="H37" s="263"/>
      <c r="I37" s="270"/>
      <c r="J37" s="266"/>
      <c r="K37" s="266"/>
      <c r="L37" s="266"/>
      <c r="M37" s="266"/>
      <c r="N37" s="247"/>
      <c r="O37" s="247"/>
      <c r="P37" s="247"/>
      <c r="Q37" s="275"/>
      <c r="R37" s="247"/>
      <c r="S37" s="271"/>
      <c r="T37" s="271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72"/>
      <c r="AX37" s="272"/>
      <c r="AY37" s="247"/>
      <c r="AZ37" s="273"/>
      <c r="BA37" s="273"/>
      <c r="BB37" s="273"/>
      <c r="BC37" s="273"/>
      <c r="BD37" s="273"/>
      <c r="BE37" s="273"/>
      <c r="BF37" s="273"/>
      <c r="BG37" s="273"/>
      <c r="BH37" s="273"/>
      <c r="BI37" s="247"/>
      <c r="BJ37" s="274"/>
      <c r="BK37" s="27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</row>
    <row r="38" spans="1:95" ht="12.75" customHeight="1">
      <c r="A38" s="262"/>
      <c r="B38" s="263"/>
      <c r="C38" s="265"/>
      <c r="D38" s="265"/>
      <c r="E38" s="269"/>
      <c r="F38" s="269"/>
      <c r="G38" s="266"/>
      <c r="H38" s="263"/>
      <c r="I38" s="270"/>
      <c r="J38" s="266"/>
      <c r="K38" s="266"/>
      <c r="L38" s="266"/>
      <c r="M38" s="266"/>
      <c r="N38" s="247"/>
      <c r="O38" s="247"/>
      <c r="P38" s="247"/>
      <c r="Q38" s="247"/>
      <c r="R38" s="247"/>
      <c r="S38" s="271"/>
      <c r="T38" s="271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72"/>
      <c r="AX38" s="272"/>
      <c r="AY38" s="247"/>
      <c r="AZ38" s="273"/>
      <c r="BA38" s="273"/>
      <c r="BB38" s="273"/>
      <c r="BC38" s="273"/>
      <c r="BD38" s="273"/>
      <c r="BE38" s="273"/>
      <c r="BF38" s="273"/>
      <c r="BG38" s="273"/>
      <c r="BH38" s="273"/>
      <c r="BI38" s="247"/>
      <c r="BJ38" s="274"/>
      <c r="BK38" s="27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</row>
    <row r="39" spans="1:95" ht="12.75" customHeight="1">
      <c r="A39" s="262"/>
      <c r="B39" s="263"/>
      <c r="C39" s="276"/>
      <c r="D39" s="265"/>
      <c r="E39" s="269"/>
      <c r="F39" s="269"/>
      <c r="G39" s="266"/>
      <c r="H39" s="263"/>
      <c r="I39" s="270"/>
      <c r="J39" s="266"/>
      <c r="K39" s="266"/>
      <c r="L39" s="266"/>
      <c r="M39" s="266"/>
      <c r="N39" s="247"/>
      <c r="O39" s="247"/>
      <c r="P39" s="247"/>
      <c r="Q39" s="247"/>
      <c r="R39" s="247"/>
      <c r="S39" s="277"/>
      <c r="T39" s="276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72"/>
      <c r="AX39" s="272"/>
      <c r="AY39" s="247"/>
      <c r="AZ39" s="273"/>
      <c r="BA39" s="273"/>
      <c r="BB39" s="273"/>
      <c r="BC39" s="273"/>
      <c r="BD39" s="273"/>
      <c r="BE39" s="273"/>
      <c r="BF39" s="273"/>
      <c r="BG39" s="273"/>
      <c r="BH39" s="273"/>
      <c r="BI39" s="247"/>
      <c r="BJ39" s="274"/>
      <c r="BK39" s="27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</row>
    <row r="40" spans="1:95" ht="12.75" customHeight="1">
      <c r="A40" s="262"/>
      <c r="B40" s="263"/>
      <c r="C40" s="265"/>
      <c r="D40" s="265"/>
      <c r="E40" s="269"/>
      <c r="F40" s="269"/>
      <c r="G40" s="266"/>
      <c r="H40" s="263"/>
      <c r="I40" s="270"/>
      <c r="J40" s="266"/>
      <c r="K40" s="266"/>
      <c r="L40" s="266"/>
      <c r="M40" s="266"/>
      <c r="N40" s="247"/>
      <c r="O40" s="247"/>
      <c r="P40" s="247"/>
      <c r="Q40" s="247"/>
      <c r="R40" s="247"/>
      <c r="S40" s="319"/>
      <c r="T40" s="319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72"/>
      <c r="AX40" s="272"/>
      <c r="AY40" s="247"/>
      <c r="AZ40" s="273"/>
      <c r="BA40" s="273"/>
      <c r="BB40" s="273"/>
      <c r="BC40" s="273"/>
      <c r="BD40" s="273"/>
      <c r="BE40" s="273"/>
      <c r="BF40" s="273"/>
      <c r="BG40" s="273"/>
      <c r="BH40" s="273"/>
      <c r="BI40" s="247"/>
      <c r="BJ40" s="274"/>
      <c r="BK40" s="27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</row>
    <row r="41" spans="1:95" ht="12.75" customHeight="1">
      <c r="A41" s="262"/>
      <c r="B41" s="263"/>
      <c r="C41" s="265"/>
      <c r="D41" s="265"/>
      <c r="E41" s="269"/>
      <c r="F41" s="269"/>
      <c r="G41" s="266"/>
      <c r="H41" s="263"/>
      <c r="I41" s="270"/>
      <c r="J41" s="266"/>
      <c r="K41" s="266"/>
      <c r="L41" s="266"/>
      <c r="M41" s="266"/>
      <c r="N41" s="247"/>
      <c r="O41" s="247"/>
      <c r="P41" s="247"/>
      <c r="Q41" s="247"/>
      <c r="R41" s="247"/>
      <c r="S41" s="277"/>
      <c r="T41" s="276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72"/>
      <c r="AX41" s="272"/>
      <c r="AY41" s="247"/>
      <c r="AZ41" s="273"/>
      <c r="BA41" s="273"/>
      <c r="BB41" s="273"/>
      <c r="BC41" s="273"/>
      <c r="BD41" s="273"/>
      <c r="BE41" s="273"/>
      <c r="BF41" s="273"/>
      <c r="BG41" s="273"/>
      <c r="BH41" s="273"/>
      <c r="BI41" s="247"/>
      <c r="BJ41" s="274"/>
      <c r="BK41" s="27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</row>
    <row r="42" spans="1:95" ht="12.75" customHeight="1">
      <c r="A42" s="262"/>
      <c r="B42" s="263"/>
      <c r="C42" s="265"/>
      <c r="D42" s="265"/>
      <c r="E42" s="269"/>
      <c r="F42" s="269"/>
      <c r="G42" s="266"/>
      <c r="H42" s="263"/>
      <c r="I42" s="270"/>
      <c r="J42" s="266"/>
      <c r="K42" s="266"/>
      <c r="L42" s="266"/>
      <c r="M42" s="266"/>
      <c r="N42" s="247"/>
      <c r="O42" s="247"/>
      <c r="P42" s="247"/>
      <c r="Q42" s="247"/>
      <c r="R42" s="247"/>
      <c r="S42" s="277"/>
      <c r="T42" s="276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72"/>
      <c r="AX42" s="272"/>
      <c r="AY42" s="247"/>
      <c r="AZ42" s="273"/>
      <c r="BA42" s="273"/>
      <c r="BB42" s="273"/>
      <c r="BC42" s="273"/>
      <c r="BD42" s="273"/>
      <c r="BE42" s="273"/>
      <c r="BF42" s="273"/>
      <c r="BG42" s="273"/>
      <c r="BH42" s="273"/>
      <c r="BI42" s="247"/>
      <c r="BJ42" s="274"/>
      <c r="BK42" s="27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</row>
    <row r="43" spans="1:95" ht="12.75" customHeight="1">
      <c r="A43" s="262"/>
      <c r="B43" s="263"/>
      <c r="C43" s="265"/>
      <c r="D43" s="265"/>
      <c r="E43" s="269"/>
      <c r="F43" s="269"/>
      <c r="G43" s="266"/>
      <c r="H43" s="263"/>
      <c r="I43" s="270"/>
      <c r="J43" s="266"/>
      <c r="K43" s="266"/>
      <c r="L43" s="266"/>
      <c r="M43" s="266"/>
      <c r="N43" s="247"/>
      <c r="O43" s="247"/>
      <c r="P43" s="247"/>
      <c r="Q43" s="247"/>
      <c r="R43" s="247"/>
      <c r="S43" s="247"/>
      <c r="T43" s="272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72"/>
      <c r="AX43" s="272"/>
      <c r="AY43" s="247"/>
      <c r="AZ43" s="273"/>
      <c r="BA43" s="273"/>
      <c r="BB43" s="273"/>
      <c r="BC43" s="273"/>
      <c r="BD43" s="273"/>
      <c r="BE43" s="273"/>
      <c r="BF43" s="273"/>
      <c r="BG43" s="273"/>
      <c r="BH43" s="273"/>
      <c r="BI43" s="247"/>
      <c r="BJ43" s="274"/>
      <c r="BK43" s="27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</row>
    <row r="44" spans="1:95" ht="12.75" customHeight="1">
      <c r="A44" s="262"/>
      <c r="B44" s="263"/>
      <c r="C44" s="265"/>
      <c r="D44" s="265"/>
      <c r="E44" s="269"/>
      <c r="F44" s="269"/>
      <c r="G44" s="266"/>
      <c r="H44" s="263"/>
      <c r="I44" s="270"/>
      <c r="J44" s="266"/>
      <c r="K44" s="266"/>
      <c r="L44" s="266"/>
      <c r="M44" s="266"/>
      <c r="N44" s="247"/>
      <c r="O44" s="247"/>
      <c r="P44" s="247"/>
      <c r="Q44" s="247"/>
      <c r="R44" s="247"/>
      <c r="S44" s="247"/>
      <c r="T44" s="272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72"/>
      <c r="AX44" s="272"/>
      <c r="AY44" s="247"/>
      <c r="AZ44" s="273"/>
      <c r="BA44" s="273"/>
      <c r="BB44" s="273"/>
      <c r="BC44" s="273"/>
      <c r="BD44" s="273"/>
      <c r="BE44" s="273"/>
      <c r="BF44" s="273"/>
      <c r="BG44" s="273"/>
      <c r="BH44" s="273"/>
      <c r="BI44" s="247"/>
      <c r="BJ44" s="274"/>
      <c r="BK44" s="27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</row>
    <row r="45" spans="1:95" ht="12.75" customHeight="1">
      <c r="A45" s="262"/>
      <c r="B45" s="263"/>
      <c r="C45" s="265"/>
      <c r="D45" s="265"/>
      <c r="E45" s="269"/>
      <c r="F45" s="269"/>
      <c r="G45" s="266"/>
      <c r="H45" s="263"/>
      <c r="I45" s="278"/>
      <c r="J45" s="266"/>
      <c r="K45" s="266"/>
      <c r="L45" s="266"/>
      <c r="M45" s="266"/>
      <c r="N45" s="247"/>
      <c r="O45" s="247"/>
      <c r="P45" s="247"/>
      <c r="Q45" s="247"/>
      <c r="R45" s="247"/>
      <c r="S45" s="247"/>
      <c r="T45" s="272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72"/>
      <c r="AX45" s="272"/>
      <c r="AY45" s="247"/>
      <c r="AZ45" s="273"/>
      <c r="BA45" s="273"/>
      <c r="BB45" s="273"/>
      <c r="BC45" s="273"/>
      <c r="BD45" s="273"/>
      <c r="BE45" s="273"/>
      <c r="BF45" s="273"/>
      <c r="BG45" s="273"/>
      <c r="BH45" s="273"/>
      <c r="BI45" s="247"/>
      <c r="BJ45" s="274"/>
      <c r="BK45" s="27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</row>
    <row r="46" spans="1:95" ht="12.75" customHeight="1">
      <c r="A46" s="262"/>
      <c r="B46" s="263"/>
      <c r="C46" s="265"/>
      <c r="D46" s="265"/>
      <c r="E46" s="269"/>
      <c r="F46" s="269"/>
      <c r="G46" s="266"/>
      <c r="H46" s="263"/>
      <c r="I46" s="278"/>
      <c r="J46" s="266"/>
      <c r="K46" s="266"/>
      <c r="L46" s="266"/>
      <c r="M46" s="266"/>
      <c r="N46" s="247"/>
      <c r="O46" s="247"/>
      <c r="P46" s="247"/>
      <c r="Q46" s="247"/>
      <c r="R46" s="247"/>
      <c r="S46" s="247"/>
      <c r="T46" s="272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  <c r="AW46" s="272"/>
      <c r="AX46" s="272"/>
      <c r="AY46" s="247"/>
      <c r="AZ46" s="273"/>
      <c r="BA46" s="273"/>
      <c r="BB46" s="273"/>
      <c r="BC46" s="273"/>
      <c r="BD46" s="273"/>
      <c r="BE46" s="273"/>
      <c r="BF46" s="273"/>
      <c r="BG46" s="273"/>
      <c r="BH46" s="273"/>
      <c r="BI46" s="247"/>
      <c r="BJ46" s="274"/>
      <c r="BK46" s="27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</row>
    <row r="47" spans="1:95" ht="12.75" customHeight="1">
      <c r="A47" s="262"/>
      <c r="B47" s="264"/>
      <c r="C47" s="265"/>
      <c r="D47" s="265"/>
      <c r="E47" s="269"/>
      <c r="F47" s="269"/>
      <c r="G47" s="266"/>
      <c r="H47" s="268"/>
      <c r="I47" s="270"/>
      <c r="J47" s="266"/>
      <c r="K47" s="266"/>
      <c r="L47" s="266"/>
      <c r="M47" s="266"/>
      <c r="N47" s="247"/>
      <c r="O47" s="247"/>
      <c r="P47" s="247"/>
      <c r="Q47" s="247"/>
      <c r="R47" s="247"/>
      <c r="S47" s="247"/>
      <c r="T47" s="272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  <c r="AP47" s="247"/>
      <c r="AQ47" s="247"/>
      <c r="AR47" s="247"/>
      <c r="AS47" s="247"/>
      <c r="AT47" s="247"/>
      <c r="AU47" s="247"/>
      <c r="AV47" s="247"/>
      <c r="AW47" s="272"/>
      <c r="AX47" s="272"/>
      <c r="AY47" s="247"/>
      <c r="AZ47" s="273"/>
      <c r="BA47" s="273"/>
      <c r="BB47" s="273"/>
      <c r="BC47" s="273"/>
      <c r="BD47" s="273"/>
      <c r="BE47" s="273"/>
      <c r="BF47" s="273"/>
      <c r="BG47" s="273"/>
      <c r="BH47" s="273"/>
      <c r="BI47" s="247"/>
      <c r="BJ47" s="274"/>
      <c r="BK47" s="27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</row>
    <row r="48" spans="1:95" ht="12.75" customHeight="1">
      <c r="A48" s="262"/>
      <c r="B48" s="265"/>
      <c r="C48" s="265"/>
      <c r="D48" s="265"/>
      <c r="E48" s="269"/>
      <c r="F48" s="264"/>
      <c r="G48" s="279"/>
      <c r="H48" s="263"/>
      <c r="I48" s="278"/>
      <c r="J48" s="279"/>
      <c r="K48" s="279"/>
      <c r="L48" s="279"/>
      <c r="M48" s="279"/>
      <c r="N48" s="280"/>
      <c r="O48" s="280"/>
      <c r="P48" s="280"/>
      <c r="Q48" s="280"/>
      <c r="R48" s="280"/>
      <c r="S48" s="280"/>
      <c r="T48" s="272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72"/>
      <c r="AX48" s="272"/>
      <c r="AY48" s="280"/>
      <c r="AZ48" s="277"/>
      <c r="BA48" s="277"/>
      <c r="BB48" s="277"/>
      <c r="BC48" s="277"/>
      <c r="BD48" s="277"/>
      <c r="BE48" s="277"/>
      <c r="BF48" s="277"/>
      <c r="BG48" s="277"/>
      <c r="BH48" s="277"/>
      <c r="BI48" s="280"/>
      <c r="BJ48" s="274"/>
      <c r="BK48" s="27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</row>
    <row r="49" spans="1:95" ht="12.75" customHeight="1">
      <c r="A49" s="262"/>
      <c r="B49" s="264"/>
      <c r="C49" s="265"/>
      <c r="D49" s="265"/>
      <c r="E49" s="269"/>
      <c r="F49" s="269"/>
      <c r="G49" s="266"/>
      <c r="H49" s="264"/>
      <c r="I49" s="270"/>
      <c r="J49" s="265"/>
      <c r="K49" s="265"/>
      <c r="L49" s="265"/>
      <c r="M49" s="265"/>
      <c r="N49" s="276"/>
      <c r="O49" s="276"/>
      <c r="P49" s="276"/>
      <c r="Q49" s="247"/>
      <c r="R49" s="247"/>
      <c r="S49" s="247"/>
      <c r="T49" s="272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247"/>
      <c r="AR49" s="247"/>
      <c r="AS49" s="247"/>
      <c r="AT49" s="247"/>
      <c r="AU49" s="247"/>
      <c r="AV49" s="247"/>
      <c r="AW49" s="272"/>
      <c r="AX49" s="272"/>
      <c r="AY49" s="247"/>
      <c r="AZ49" s="273"/>
      <c r="BA49" s="273"/>
      <c r="BB49" s="273"/>
      <c r="BC49" s="273"/>
      <c r="BD49" s="273"/>
      <c r="BE49" s="273"/>
      <c r="BF49" s="273"/>
      <c r="BG49" s="273"/>
      <c r="BH49" s="273"/>
      <c r="BI49" s="247"/>
      <c r="BJ49" s="274"/>
      <c r="BK49" s="27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</row>
    <row r="50" spans="1:95" ht="12.75" customHeight="1">
      <c r="A50" s="262"/>
      <c r="B50" s="263"/>
      <c r="C50" s="265"/>
      <c r="D50" s="265"/>
      <c r="E50" s="269"/>
      <c r="F50" s="269"/>
      <c r="G50" s="266"/>
      <c r="H50" s="264"/>
      <c r="I50" s="270"/>
      <c r="J50" s="265"/>
      <c r="K50" s="265"/>
      <c r="L50" s="265"/>
      <c r="M50" s="265"/>
      <c r="N50" s="276"/>
      <c r="O50" s="276"/>
      <c r="P50" s="276"/>
      <c r="Q50" s="247"/>
      <c r="R50" s="247"/>
      <c r="S50" s="247"/>
      <c r="T50" s="272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  <c r="AR50" s="247"/>
      <c r="AS50" s="247"/>
      <c r="AT50" s="247"/>
      <c r="AU50" s="247"/>
      <c r="AV50" s="247"/>
      <c r="AW50" s="272"/>
      <c r="AX50" s="272"/>
      <c r="AY50" s="247"/>
      <c r="AZ50" s="273"/>
      <c r="BA50" s="273"/>
      <c r="BB50" s="273"/>
      <c r="BC50" s="273"/>
      <c r="BD50" s="273"/>
      <c r="BE50" s="273"/>
      <c r="BF50" s="273"/>
      <c r="BG50" s="273"/>
      <c r="BH50" s="273"/>
      <c r="BI50" s="247"/>
      <c r="BJ50" s="274"/>
      <c r="BK50" s="27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</row>
    <row r="51" spans="1:122" ht="12.75" customHeight="1">
      <c r="A51" s="262"/>
      <c r="B51" s="263"/>
      <c r="C51" s="265"/>
      <c r="D51" s="265"/>
      <c r="E51" s="269"/>
      <c r="F51" s="269"/>
      <c r="G51" s="266"/>
      <c r="H51" s="266"/>
      <c r="I51" s="270"/>
      <c r="J51" s="266"/>
      <c r="K51" s="266"/>
      <c r="L51" s="266"/>
      <c r="M51" s="266"/>
      <c r="N51" s="247"/>
      <c r="O51" s="247"/>
      <c r="P51" s="247"/>
      <c r="Q51" s="247"/>
      <c r="R51" s="247"/>
      <c r="S51" s="247"/>
      <c r="T51" s="272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7"/>
      <c r="AS51" s="247"/>
      <c r="AT51" s="247"/>
      <c r="AU51" s="247"/>
      <c r="AV51" s="247"/>
      <c r="AW51" s="272"/>
      <c r="AX51" s="272"/>
      <c r="AY51" s="247"/>
      <c r="AZ51" s="273"/>
      <c r="BA51" s="273"/>
      <c r="BB51" s="273"/>
      <c r="BC51" s="273"/>
      <c r="BD51" s="273"/>
      <c r="BE51" s="273"/>
      <c r="BF51" s="273"/>
      <c r="BG51" s="273"/>
      <c r="BH51" s="273"/>
      <c r="BI51" s="247"/>
      <c r="BJ51" s="274"/>
      <c r="BK51" s="27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DM51" s="69" t="str">
        <f>IF('Cable  Selection'!C27=Sheet3!N13,"CU","AL")</f>
        <v>AL</v>
      </c>
      <c r="DN51" s="69" t="str">
        <f>Sheet3!C8</f>
        <v>1cX0.5</v>
      </c>
      <c r="DO51" s="69" t="str">
        <f>Sheet3!C43</f>
        <v>1cX4</v>
      </c>
      <c r="DP51" s="69" t="str">
        <f>Sheet3!C139</f>
        <v>1cX25</v>
      </c>
      <c r="DQ51" s="69" t="str">
        <f>Sheet3!C237</f>
        <v>1cX 95  </v>
      </c>
      <c r="DR51" s="69" t="str">
        <f>Sheet3!N13</f>
        <v>PVC Flexible (Up to 1.1 KV)</v>
      </c>
    </row>
    <row r="52" spans="1:135" s="5" customFormat="1" ht="12.75" customHeight="1">
      <c r="A52" s="266"/>
      <c r="B52" s="267"/>
      <c r="C52" s="265"/>
      <c r="D52" s="265"/>
      <c r="E52" s="269"/>
      <c r="F52" s="266"/>
      <c r="G52" s="266"/>
      <c r="H52" s="266"/>
      <c r="I52" s="281"/>
      <c r="J52" s="282"/>
      <c r="K52" s="282"/>
      <c r="L52" s="282"/>
      <c r="M52" s="282"/>
      <c r="N52" s="283"/>
      <c r="O52" s="283"/>
      <c r="P52" s="283"/>
      <c r="Q52" s="283"/>
      <c r="R52" s="283"/>
      <c r="S52" s="283"/>
      <c r="T52" s="284"/>
      <c r="U52" s="283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  <c r="AQ52" s="247"/>
      <c r="AR52" s="247"/>
      <c r="AS52" s="247"/>
      <c r="AT52" s="247"/>
      <c r="AU52" s="247"/>
      <c r="AV52" s="247"/>
      <c r="AW52" s="272"/>
      <c r="AX52" s="272"/>
      <c r="AY52" s="247"/>
      <c r="AZ52" s="273"/>
      <c r="BA52" s="273"/>
      <c r="BB52" s="273"/>
      <c r="BC52" s="273"/>
      <c r="BD52" s="273"/>
      <c r="BE52" s="273"/>
      <c r="BF52" s="273"/>
      <c r="BG52" s="273"/>
      <c r="BH52" s="273"/>
      <c r="BI52" s="247"/>
      <c r="BJ52" s="274"/>
      <c r="BK52" s="274"/>
      <c r="BL52" s="43"/>
      <c r="BM52" s="43"/>
      <c r="BN52" s="43"/>
      <c r="BO52" s="43"/>
      <c r="BP52" s="43"/>
      <c r="BQ52" s="43"/>
      <c r="BR52" s="43"/>
      <c r="BS52" s="43"/>
      <c r="BT52" s="43"/>
      <c r="BU52" s="19"/>
      <c r="BV52" s="16"/>
      <c r="BW52" s="16"/>
      <c r="BX52" s="44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69" t="str">
        <f>IF('Cable  Selection'!C27=Sheet3!N19,"AL","CU")</f>
        <v>CU</v>
      </c>
      <c r="DN52" s="69" t="str">
        <f>Sheet3!C9</f>
        <v>1cX0.75</v>
      </c>
      <c r="DO52" s="69" t="str">
        <f>Sheet3!C44</f>
        <v>1cX6</v>
      </c>
      <c r="DP52" s="69" t="str">
        <f>Sheet3!C140</f>
        <v>1cX35</v>
      </c>
      <c r="DQ52" s="69" t="str">
        <f>Sheet3!C238</f>
        <v>1cX120  </v>
      </c>
      <c r="DR52" s="69" t="str">
        <f>Sheet3!N14</f>
        <v>LT PVC (Up to 1.1 KV)</v>
      </c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</row>
    <row r="53" spans="1:135" s="5" customFormat="1" ht="12.75" customHeight="1">
      <c r="A53" s="266"/>
      <c r="B53" s="267"/>
      <c r="C53" s="265"/>
      <c r="D53" s="265"/>
      <c r="E53" s="269"/>
      <c r="F53" s="266"/>
      <c r="G53" s="266"/>
      <c r="H53" s="266"/>
      <c r="I53" s="270"/>
      <c r="J53" s="266"/>
      <c r="K53" s="266"/>
      <c r="L53" s="266"/>
      <c r="M53" s="266"/>
      <c r="N53" s="247"/>
      <c r="O53" s="247"/>
      <c r="P53" s="247"/>
      <c r="Q53" s="247"/>
      <c r="R53" s="247"/>
      <c r="S53" s="247"/>
      <c r="T53" s="272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7"/>
      <c r="AS53" s="247"/>
      <c r="AT53" s="247"/>
      <c r="AU53" s="247"/>
      <c r="AV53" s="247"/>
      <c r="AW53" s="272"/>
      <c r="AX53" s="272"/>
      <c r="AY53" s="247"/>
      <c r="AZ53" s="273"/>
      <c r="BA53" s="273"/>
      <c r="BB53" s="273"/>
      <c r="BC53" s="273"/>
      <c r="BD53" s="273"/>
      <c r="BE53" s="273"/>
      <c r="BF53" s="273"/>
      <c r="BG53" s="273"/>
      <c r="BH53" s="273"/>
      <c r="BI53" s="247"/>
      <c r="BJ53" s="274"/>
      <c r="BK53" s="274"/>
      <c r="BL53" s="43"/>
      <c r="BM53" s="43"/>
      <c r="BN53" s="43"/>
      <c r="BO53" s="43"/>
      <c r="BP53" s="43"/>
      <c r="BQ53" s="43"/>
      <c r="BR53" s="43"/>
      <c r="BS53" s="43"/>
      <c r="BT53" s="43"/>
      <c r="BU53" s="19"/>
      <c r="BV53" s="16"/>
      <c r="BW53" s="16"/>
      <c r="BX53" s="44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72"/>
      <c r="DN53" s="69" t="str">
        <f>Sheet3!C10</f>
        <v>1cX1</v>
      </c>
      <c r="DO53" s="69" t="str">
        <f>Sheet3!C45</f>
        <v>1cX10</v>
      </c>
      <c r="DP53" s="69" t="str">
        <f>Sheet3!C141</f>
        <v>1cX50</v>
      </c>
      <c r="DQ53" s="69" t="str">
        <f>Sheet3!C239</f>
        <v>1cX150  </v>
      </c>
      <c r="DR53" s="69" t="str">
        <f>Sheet3!N15</f>
        <v>LT XLPE (Up to 1.1 KV)</v>
      </c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</row>
    <row r="54" spans="1:135" s="5" customFormat="1" ht="12.75" customHeight="1">
      <c r="A54" s="266"/>
      <c r="B54" s="267"/>
      <c r="C54" s="265"/>
      <c r="D54" s="265"/>
      <c r="E54" s="269"/>
      <c r="F54" s="266"/>
      <c r="G54" s="266"/>
      <c r="H54" s="262"/>
      <c r="I54" s="270"/>
      <c r="J54" s="266"/>
      <c r="K54" s="266"/>
      <c r="L54" s="266"/>
      <c r="M54" s="266"/>
      <c r="N54" s="247"/>
      <c r="O54" s="247"/>
      <c r="P54" s="247"/>
      <c r="Q54" s="247"/>
      <c r="R54" s="247"/>
      <c r="S54" s="247"/>
      <c r="T54" s="272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47"/>
      <c r="AU54" s="247"/>
      <c r="AV54" s="247"/>
      <c r="AW54" s="272"/>
      <c r="AX54" s="272"/>
      <c r="AY54" s="247"/>
      <c r="AZ54" s="273"/>
      <c r="BA54" s="273"/>
      <c r="BB54" s="273"/>
      <c r="BC54" s="273"/>
      <c r="BD54" s="273"/>
      <c r="BE54" s="273"/>
      <c r="BF54" s="273"/>
      <c r="BG54" s="273"/>
      <c r="BH54" s="273"/>
      <c r="BI54" s="247"/>
      <c r="BJ54" s="274"/>
      <c r="BK54" s="274"/>
      <c r="BL54" s="43"/>
      <c r="BM54" s="43"/>
      <c r="BN54" s="43"/>
      <c r="BO54" s="43"/>
      <c r="BP54" s="43"/>
      <c r="BQ54" s="43"/>
      <c r="BR54" s="43"/>
      <c r="BS54" s="43"/>
      <c r="BT54" s="43"/>
      <c r="BU54" s="19"/>
      <c r="BV54" s="16"/>
      <c r="BW54" s="16"/>
      <c r="BX54" s="44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73" t="s">
        <v>50</v>
      </c>
      <c r="DN54" s="69" t="str">
        <f>Sheet3!C11</f>
        <v>1cX1.5</v>
      </c>
      <c r="DO54" s="69" t="str">
        <f>Sheet3!C46</f>
        <v>1cX16</v>
      </c>
      <c r="DP54" s="69" t="str">
        <f>Sheet3!C142</f>
        <v>1cX70</v>
      </c>
      <c r="DQ54" s="69" t="str">
        <f>Sheet3!C240</f>
        <v>1cX185  </v>
      </c>
      <c r="DR54" s="69" t="str">
        <f>Sheet3!N16</f>
        <v>HT XLPE ( 6.6 KV-Earthed)</v>
      </c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</row>
    <row r="55" spans="1:135" s="5" customFormat="1" ht="12.75" customHeight="1">
      <c r="A55" s="266"/>
      <c r="B55" s="267"/>
      <c r="C55" s="265"/>
      <c r="D55" s="265"/>
      <c r="E55" s="269"/>
      <c r="F55" s="266"/>
      <c r="G55" s="266"/>
      <c r="H55" s="262"/>
      <c r="I55" s="270"/>
      <c r="J55" s="266"/>
      <c r="K55" s="266"/>
      <c r="L55" s="266"/>
      <c r="M55" s="266"/>
      <c r="N55" s="247"/>
      <c r="O55" s="247"/>
      <c r="P55" s="247"/>
      <c r="Q55" s="247"/>
      <c r="R55" s="247"/>
      <c r="S55" s="247"/>
      <c r="T55" s="272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7"/>
      <c r="AR55" s="247"/>
      <c r="AS55" s="247"/>
      <c r="AT55" s="247"/>
      <c r="AU55" s="247"/>
      <c r="AV55" s="247"/>
      <c r="AW55" s="272"/>
      <c r="AX55" s="272"/>
      <c r="AY55" s="247"/>
      <c r="AZ55" s="273"/>
      <c r="BA55" s="273"/>
      <c r="BB55" s="273"/>
      <c r="BC55" s="273"/>
      <c r="BD55" s="273"/>
      <c r="BE55" s="273"/>
      <c r="BF55" s="273"/>
      <c r="BG55" s="273"/>
      <c r="BH55" s="273"/>
      <c r="BI55" s="247"/>
      <c r="BJ55" s="274"/>
      <c r="BK55" s="274"/>
      <c r="BL55" s="43"/>
      <c r="BM55" s="43"/>
      <c r="BN55" s="43"/>
      <c r="BO55" s="43"/>
      <c r="BP55" s="43"/>
      <c r="BQ55" s="43"/>
      <c r="BR55" s="43"/>
      <c r="BS55" s="43"/>
      <c r="BT55" s="43"/>
      <c r="BU55" s="19"/>
      <c r="BV55" s="16"/>
      <c r="BW55" s="16"/>
      <c r="BX55" s="44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73" t="s">
        <v>51</v>
      </c>
      <c r="DN55" s="69" t="str">
        <f>Sheet3!C12</f>
        <v>1cX2.5</v>
      </c>
      <c r="DO55" s="69" t="str">
        <f>Sheet3!C47</f>
        <v>1cX25</v>
      </c>
      <c r="DP55" s="69" t="str">
        <f>Sheet3!C143</f>
        <v>1cX95</v>
      </c>
      <c r="DQ55" s="69" t="str">
        <f>Sheet3!C241</f>
        <v>1cX240  </v>
      </c>
      <c r="DR55" s="69" t="str">
        <f>Sheet3!N17</f>
        <v>HT XLPE ( 11 KV-Earthed)</v>
      </c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</row>
    <row r="56" spans="1:135" s="5" customFormat="1" ht="12.75" customHeight="1">
      <c r="A56" s="266"/>
      <c r="B56" s="267"/>
      <c r="C56" s="265"/>
      <c r="D56" s="265"/>
      <c r="E56" s="269"/>
      <c r="F56" s="266"/>
      <c r="G56" s="266"/>
      <c r="H56" s="262"/>
      <c r="I56" s="270"/>
      <c r="J56" s="266"/>
      <c r="K56" s="266"/>
      <c r="L56" s="266"/>
      <c r="M56" s="266"/>
      <c r="N56" s="247"/>
      <c r="O56" s="247"/>
      <c r="P56" s="247"/>
      <c r="Q56" s="247"/>
      <c r="R56" s="247"/>
      <c r="S56" s="247"/>
      <c r="T56" s="272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  <c r="AP56" s="247"/>
      <c r="AQ56" s="247"/>
      <c r="AR56" s="247"/>
      <c r="AS56" s="247"/>
      <c r="AT56" s="247"/>
      <c r="AU56" s="247"/>
      <c r="AV56" s="247"/>
      <c r="AW56" s="272"/>
      <c r="AX56" s="272"/>
      <c r="AY56" s="247"/>
      <c r="AZ56" s="273"/>
      <c r="BA56" s="273"/>
      <c r="BB56" s="273"/>
      <c r="BC56" s="273"/>
      <c r="BD56" s="273"/>
      <c r="BE56" s="273"/>
      <c r="BF56" s="273"/>
      <c r="BG56" s="273"/>
      <c r="BH56" s="273"/>
      <c r="BI56" s="247"/>
      <c r="BJ56" s="274"/>
      <c r="BK56" s="274"/>
      <c r="BL56" s="43"/>
      <c r="BM56" s="43"/>
      <c r="BN56" s="43"/>
      <c r="BO56" s="43"/>
      <c r="BP56" s="43"/>
      <c r="BQ56" s="43"/>
      <c r="BR56" s="43"/>
      <c r="BS56" s="43"/>
      <c r="BT56" s="43"/>
      <c r="BU56" s="19"/>
      <c r="BV56" s="16"/>
      <c r="BW56" s="16"/>
      <c r="BX56" s="44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73" t="s">
        <v>106</v>
      </c>
      <c r="DN56" s="69" t="str">
        <f>Sheet3!C13</f>
        <v>1cX4</v>
      </c>
      <c r="DO56" s="69" t="str">
        <f>Sheet3!C48</f>
        <v>1cX35</v>
      </c>
      <c r="DP56" s="69" t="str">
        <f>Sheet3!C144</f>
        <v>1cX120</v>
      </c>
      <c r="DQ56" s="69" t="str">
        <f>Sheet3!C242</f>
        <v>1cX300  </v>
      </c>
      <c r="DR56" s="69" t="str">
        <f>Sheet3!N18</f>
        <v>HT XLPE ( 11 KV-Un Earthed)</v>
      </c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</row>
    <row r="57" spans="1:135" s="5" customFormat="1" ht="12.75" customHeight="1">
      <c r="A57" s="266"/>
      <c r="B57" s="267"/>
      <c r="C57" s="265"/>
      <c r="D57" s="265"/>
      <c r="E57" s="269"/>
      <c r="F57" s="266"/>
      <c r="G57" s="266"/>
      <c r="H57" s="262"/>
      <c r="I57" s="270"/>
      <c r="J57" s="266"/>
      <c r="K57" s="266"/>
      <c r="L57" s="266"/>
      <c r="M57" s="266"/>
      <c r="N57" s="247"/>
      <c r="O57" s="247"/>
      <c r="P57" s="247"/>
      <c r="Q57" s="247"/>
      <c r="R57" s="247"/>
      <c r="S57" s="247"/>
      <c r="T57" s="272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7"/>
      <c r="AO57" s="247"/>
      <c r="AP57" s="247"/>
      <c r="AQ57" s="247"/>
      <c r="AR57" s="247"/>
      <c r="AS57" s="247"/>
      <c r="AT57" s="247"/>
      <c r="AU57" s="247"/>
      <c r="AV57" s="247"/>
      <c r="AW57" s="272"/>
      <c r="AX57" s="272"/>
      <c r="AY57" s="247"/>
      <c r="AZ57" s="273"/>
      <c r="BA57" s="273"/>
      <c r="BB57" s="273"/>
      <c r="BC57" s="273"/>
      <c r="BD57" s="273"/>
      <c r="BE57" s="273"/>
      <c r="BF57" s="273"/>
      <c r="BG57" s="273"/>
      <c r="BH57" s="273"/>
      <c r="BI57" s="247"/>
      <c r="BJ57" s="274"/>
      <c r="BK57" s="274"/>
      <c r="BL57" s="43"/>
      <c r="BM57" s="43"/>
      <c r="BN57" s="43"/>
      <c r="BO57" s="43"/>
      <c r="BP57" s="43"/>
      <c r="BQ57" s="43"/>
      <c r="BR57" s="43"/>
      <c r="BS57" s="43"/>
      <c r="BT57" s="43"/>
      <c r="BU57" s="19"/>
      <c r="BV57" s="16"/>
      <c r="BW57" s="16"/>
      <c r="BX57" s="44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72"/>
      <c r="DN57" s="69" t="str">
        <f>Sheet3!C14</f>
        <v>1cX6</v>
      </c>
      <c r="DO57" s="69" t="str">
        <f>Sheet3!C49</f>
        <v>1cX50</v>
      </c>
      <c r="DP57" s="69" t="str">
        <f>Sheet3!C145</f>
        <v>1cX150  </v>
      </c>
      <c r="DQ57" s="69" t="str">
        <f>Sheet3!C243</f>
        <v>1cX400  </v>
      </c>
      <c r="DR57" s="69" t="str">
        <f>Sheet3!N19</f>
        <v>HT XLPE ( 66 KV-Earthed)</v>
      </c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</row>
    <row r="58" spans="1:135" s="5" customFormat="1" ht="12.75" customHeight="1">
      <c r="A58" s="266"/>
      <c r="B58" s="267"/>
      <c r="C58" s="265"/>
      <c r="D58" s="265"/>
      <c r="E58" s="269"/>
      <c r="F58" s="266"/>
      <c r="G58" s="266"/>
      <c r="H58" s="262"/>
      <c r="I58" s="270"/>
      <c r="J58" s="266"/>
      <c r="K58" s="266"/>
      <c r="L58" s="266"/>
      <c r="M58" s="266"/>
      <c r="N58" s="247"/>
      <c r="O58" s="247"/>
      <c r="P58" s="247"/>
      <c r="Q58" s="247"/>
      <c r="R58" s="247"/>
      <c r="S58" s="247"/>
      <c r="T58" s="272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  <c r="AQ58" s="247"/>
      <c r="AR58" s="247"/>
      <c r="AS58" s="247"/>
      <c r="AT58" s="247"/>
      <c r="AU58" s="247"/>
      <c r="AV58" s="247"/>
      <c r="AW58" s="272"/>
      <c r="AX58" s="272"/>
      <c r="AY58" s="247"/>
      <c r="AZ58" s="273"/>
      <c r="BA58" s="273"/>
      <c r="BB58" s="273"/>
      <c r="BC58" s="273"/>
      <c r="BD58" s="273"/>
      <c r="BE58" s="273"/>
      <c r="BF58" s="273"/>
      <c r="BG58" s="273"/>
      <c r="BH58" s="273"/>
      <c r="BI58" s="247"/>
      <c r="BJ58" s="274"/>
      <c r="BK58" s="274"/>
      <c r="BL58" s="43"/>
      <c r="BM58" s="43"/>
      <c r="BN58" s="43"/>
      <c r="BO58" s="43"/>
      <c r="BP58" s="43"/>
      <c r="BQ58" s="43"/>
      <c r="BR58" s="43"/>
      <c r="BS58" s="43"/>
      <c r="BT58" s="43"/>
      <c r="BU58" s="19"/>
      <c r="BV58" s="16"/>
      <c r="BW58" s="16"/>
      <c r="BX58" s="44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72">
        <v>1</v>
      </c>
      <c r="DN58" s="69" t="str">
        <f>Sheet3!C15</f>
        <v>1cX10</v>
      </c>
      <c r="DO58" s="69" t="str">
        <f>Sheet3!C50</f>
        <v>1cX70</v>
      </c>
      <c r="DP58" s="69" t="str">
        <f>Sheet3!C146</f>
        <v>1cX185  </v>
      </c>
      <c r="DQ58" s="69" t="str">
        <f>Sheet3!C244</f>
        <v>1cX 500  </v>
      </c>
      <c r="DR58" s="69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</row>
    <row r="59" spans="1:135" s="5" customFormat="1" ht="12.75" customHeight="1">
      <c r="A59" s="266"/>
      <c r="B59" s="267"/>
      <c r="C59" s="265"/>
      <c r="D59" s="265"/>
      <c r="E59" s="269"/>
      <c r="F59" s="266"/>
      <c r="G59" s="266"/>
      <c r="H59" s="262"/>
      <c r="I59" s="270"/>
      <c r="J59" s="266"/>
      <c r="K59" s="266"/>
      <c r="L59" s="266"/>
      <c r="M59" s="266"/>
      <c r="N59" s="247"/>
      <c r="O59" s="247"/>
      <c r="P59" s="247"/>
      <c r="Q59" s="247"/>
      <c r="R59" s="247"/>
      <c r="S59" s="247"/>
      <c r="T59" s="272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7"/>
      <c r="AP59" s="247"/>
      <c r="AQ59" s="247"/>
      <c r="AR59" s="247"/>
      <c r="AS59" s="247"/>
      <c r="AT59" s="247"/>
      <c r="AU59" s="247"/>
      <c r="AV59" s="247"/>
      <c r="AW59" s="272"/>
      <c r="AX59" s="272"/>
      <c r="AY59" s="247"/>
      <c r="AZ59" s="273"/>
      <c r="BA59" s="273"/>
      <c r="BB59" s="273"/>
      <c r="BC59" s="273"/>
      <c r="BD59" s="273"/>
      <c r="BE59" s="273"/>
      <c r="BF59" s="273"/>
      <c r="BG59" s="273"/>
      <c r="BH59" s="273"/>
      <c r="BI59" s="247"/>
      <c r="BJ59" s="274"/>
      <c r="BK59" s="274"/>
      <c r="BL59" s="43"/>
      <c r="BM59" s="43"/>
      <c r="BN59" s="43"/>
      <c r="BO59" s="43"/>
      <c r="BP59" s="43"/>
      <c r="BQ59" s="43"/>
      <c r="BR59" s="43"/>
      <c r="BS59" s="43"/>
      <c r="BT59" s="43"/>
      <c r="BU59" s="19"/>
      <c r="BV59" s="16"/>
      <c r="BW59" s="16"/>
      <c r="BX59" s="44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72">
        <v>2</v>
      </c>
      <c r="DN59" s="69" t="str">
        <f>Sheet3!C16</f>
        <v>1cX16</v>
      </c>
      <c r="DO59" s="69" t="str">
        <f>Sheet3!C51</f>
        <v>1cX95</v>
      </c>
      <c r="DP59" s="69" t="str">
        <f>Sheet3!C147</f>
        <v>1cX240  </v>
      </c>
      <c r="DQ59" s="69" t="str">
        <f>Sheet3!C245</f>
        <v>1cX 630  </v>
      </c>
      <c r="DR59" s="69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</row>
    <row r="60" spans="1:135" s="5" customFormat="1" ht="12.75" customHeight="1">
      <c r="A60" s="266"/>
      <c r="B60" s="267"/>
      <c r="C60" s="270"/>
      <c r="D60" s="270"/>
      <c r="E60" s="266"/>
      <c r="F60" s="266"/>
      <c r="G60" s="266"/>
      <c r="H60" s="262"/>
      <c r="I60" s="270"/>
      <c r="J60" s="266"/>
      <c r="K60" s="266"/>
      <c r="L60" s="266"/>
      <c r="M60" s="266"/>
      <c r="N60" s="247"/>
      <c r="O60" s="247"/>
      <c r="P60" s="247"/>
      <c r="Q60" s="247"/>
      <c r="R60" s="247"/>
      <c r="S60" s="247"/>
      <c r="T60" s="272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  <c r="AR60" s="247"/>
      <c r="AS60" s="247"/>
      <c r="AT60" s="247"/>
      <c r="AU60" s="247"/>
      <c r="AV60" s="247"/>
      <c r="AW60" s="272"/>
      <c r="AX60" s="272"/>
      <c r="AY60" s="247"/>
      <c r="AZ60" s="273"/>
      <c r="BA60" s="273"/>
      <c r="BB60" s="273"/>
      <c r="BC60" s="273"/>
      <c r="BD60" s="273"/>
      <c r="BE60" s="273"/>
      <c r="BF60" s="273"/>
      <c r="BG60" s="273"/>
      <c r="BH60" s="273"/>
      <c r="BI60" s="247"/>
      <c r="BJ60" s="274"/>
      <c r="BK60" s="274"/>
      <c r="BL60" s="43"/>
      <c r="BM60" s="43"/>
      <c r="BN60" s="43"/>
      <c r="BO60" s="43"/>
      <c r="BP60" s="43"/>
      <c r="BQ60" s="43"/>
      <c r="BR60" s="43"/>
      <c r="BS60" s="43"/>
      <c r="BT60" s="43"/>
      <c r="BU60" s="19"/>
      <c r="BV60" s="16"/>
      <c r="BW60" s="16"/>
      <c r="BX60" s="44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72">
        <v>3</v>
      </c>
      <c r="DN60" s="69" t="str">
        <f>Sheet3!C17</f>
        <v>1cX25</v>
      </c>
      <c r="DO60" s="69" t="str">
        <f>Sheet3!C52</f>
        <v>1cX120</v>
      </c>
      <c r="DP60" s="69" t="str">
        <f>Sheet3!C148</f>
        <v>1cX300  </v>
      </c>
      <c r="DQ60" s="69" t="str">
        <f>Sheet3!C246</f>
        <v>1cX800  </v>
      </c>
      <c r="DR60" s="73" t="s">
        <v>44</v>
      </c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</row>
    <row r="61" spans="1:135" s="5" customFormat="1" ht="12.75" customHeight="1">
      <c r="A61" s="266"/>
      <c r="B61" s="267"/>
      <c r="C61" s="270"/>
      <c r="D61" s="270"/>
      <c r="E61" s="266"/>
      <c r="F61" s="266"/>
      <c r="G61" s="266"/>
      <c r="H61" s="262"/>
      <c r="I61" s="270"/>
      <c r="J61" s="266"/>
      <c r="K61" s="266"/>
      <c r="L61" s="266"/>
      <c r="M61" s="266"/>
      <c r="N61" s="247"/>
      <c r="O61" s="247"/>
      <c r="P61" s="247"/>
      <c r="Q61" s="247"/>
      <c r="R61" s="247"/>
      <c r="S61" s="247"/>
      <c r="T61" s="272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  <c r="AQ61" s="247"/>
      <c r="AR61" s="247"/>
      <c r="AS61" s="247"/>
      <c r="AT61" s="247"/>
      <c r="AU61" s="247"/>
      <c r="AV61" s="247"/>
      <c r="AW61" s="272"/>
      <c r="AX61" s="272"/>
      <c r="AY61" s="247"/>
      <c r="AZ61" s="273"/>
      <c r="BA61" s="273"/>
      <c r="BB61" s="273"/>
      <c r="BC61" s="273"/>
      <c r="BD61" s="273"/>
      <c r="BE61" s="273"/>
      <c r="BF61" s="273"/>
      <c r="BG61" s="273"/>
      <c r="BH61" s="273"/>
      <c r="BI61" s="247"/>
      <c r="BJ61" s="274"/>
      <c r="BK61" s="274"/>
      <c r="BL61" s="43"/>
      <c r="BM61" s="43"/>
      <c r="BN61" s="43"/>
      <c r="BO61" s="43"/>
      <c r="BP61" s="43"/>
      <c r="BQ61" s="43"/>
      <c r="BR61" s="43"/>
      <c r="BS61" s="43"/>
      <c r="BT61" s="43"/>
      <c r="BU61" s="19"/>
      <c r="BV61" s="16"/>
      <c r="BW61" s="16"/>
      <c r="BX61" s="44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72">
        <v>4</v>
      </c>
      <c r="DN61" s="69" t="str">
        <f>Sheet3!C18</f>
        <v>1cX35</v>
      </c>
      <c r="DO61" s="69" t="str">
        <f>Sheet3!C53</f>
        <v>1cX150  </v>
      </c>
      <c r="DP61" s="69" t="str">
        <f>Sheet3!C149</f>
        <v>1cX400  </v>
      </c>
      <c r="DQ61" s="69" t="str">
        <f>Sheet3!C247</f>
        <v>1cX1000  </v>
      </c>
      <c r="DR61" s="73" t="s">
        <v>55</v>
      </c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</row>
    <row r="62" spans="1:135" s="5" customFormat="1" ht="12.75" customHeight="1">
      <c r="A62" s="266"/>
      <c r="B62" s="267"/>
      <c r="C62" s="270"/>
      <c r="D62" s="270"/>
      <c r="E62" s="266"/>
      <c r="F62" s="266"/>
      <c r="G62" s="266"/>
      <c r="H62" s="262"/>
      <c r="I62" s="270"/>
      <c r="J62" s="266"/>
      <c r="K62" s="266"/>
      <c r="L62" s="266"/>
      <c r="M62" s="266"/>
      <c r="N62" s="247"/>
      <c r="O62" s="247"/>
      <c r="P62" s="247"/>
      <c r="Q62" s="247"/>
      <c r="R62" s="247"/>
      <c r="S62" s="247"/>
      <c r="T62" s="272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247"/>
      <c r="AL62" s="247"/>
      <c r="AM62" s="247"/>
      <c r="AN62" s="247"/>
      <c r="AO62" s="247"/>
      <c r="AP62" s="247"/>
      <c r="AQ62" s="247"/>
      <c r="AR62" s="247"/>
      <c r="AS62" s="247"/>
      <c r="AT62" s="247"/>
      <c r="AU62" s="247"/>
      <c r="AV62" s="247"/>
      <c r="AW62" s="272"/>
      <c r="AX62" s="272"/>
      <c r="AY62" s="247"/>
      <c r="AZ62" s="273"/>
      <c r="BA62" s="273"/>
      <c r="BB62" s="273"/>
      <c r="BC62" s="273"/>
      <c r="BD62" s="273"/>
      <c r="BE62" s="273"/>
      <c r="BF62" s="273"/>
      <c r="BG62" s="273"/>
      <c r="BH62" s="273"/>
      <c r="BI62" s="247"/>
      <c r="BJ62" s="274"/>
      <c r="BK62" s="274"/>
      <c r="BL62" s="43"/>
      <c r="BM62" s="43"/>
      <c r="BN62" s="43"/>
      <c r="BO62" s="43"/>
      <c r="BP62" s="43"/>
      <c r="BQ62" s="43"/>
      <c r="BR62" s="43"/>
      <c r="BS62" s="43"/>
      <c r="BT62" s="43"/>
      <c r="BU62" s="19"/>
      <c r="BV62" s="16"/>
      <c r="BW62" s="16"/>
      <c r="BX62" s="44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72">
        <v>5</v>
      </c>
      <c r="DN62" s="69" t="str">
        <f>Sheet3!C19</f>
        <v>1cX50</v>
      </c>
      <c r="DO62" s="69" t="str">
        <f>Sheet3!C54</f>
        <v>1cX185  </v>
      </c>
      <c r="DP62" s="69" t="str">
        <f>Sheet3!C150</f>
        <v>1cX 500  </v>
      </c>
      <c r="DQ62" s="69"/>
      <c r="DR62" s="73" t="s">
        <v>56</v>
      </c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</row>
    <row r="63" spans="1:135" s="5" customFormat="1" ht="12.75" customHeight="1">
      <c r="A63" s="266"/>
      <c r="B63" s="267"/>
      <c r="C63" s="270"/>
      <c r="D63" s="270"/>
      <c r="E63" s="266"/>
      <c r="F63" s="266"/>
      <c r="G63" s="266"/>
      <c r="H63" s="262"/>
      <c r="I63" s="270"/>
      <c r="J63" s="266"/>
      <c r="K63" s="266"/>
      <c r="L63" s="266"/>
      <c r="M63" s="266"/>
      <c r="N63" s="247"/>
      <c r="O63" s="247"/>
      <c r="P63" s="247"/>
      <c r="Q63" s="247"/>
      <c r="R63" s="247"/>
      <c r="S63" s="247"/>
      <c r="T63" s="272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  <c r="AP63" s="247"/>
      <c r="AQ63" s="247"/>
      <c r="AR63" s="247"/>
      <c r="AS63" s="247"/>
      <c r="AT63" s="247"/>
      <c r="AU63" s="247"/>
      <c r="AV63" s="247"/>
      <c r="AW63" s="272"/>
      <c r="AX63" s="272"/>
      <c r="AY63" s="247"/>
      <c r="AZ63" s="273"/>
      <c r="BA63" s="273"/>
      <c r="BB63" s="273"/>
      <c r="BC63" s="273"/>
      <c r="BD63" s="273"/>
      <c r="BE63" s="273"/>
      <c r="BF63" s="273"/>
      <c r="BG63" s="273"/>
      <c r="BH63" s="273"/>
      <c r="BI63" s="247"/>
      <c r="BJ63" s="274"/>
      <c r="BK63" s="274"/>
      <c r="BL63" s="43"/>
      <c r="BM63" s="43"/>
      <c r="BN63" s="43"/>
      <c r="BO63" s="43"/>
      <c r="BP63" s="43"/>
      <c r="BQ63" s="43"/>
      <c r="BR63" s="43"/>
      <c r="BS63" s="43"/>
      <c r="BT63" s="43"/>
      <c r="BU63" s="19"/>
      <c r="BV63" s="16"/>
      <c r="BW63" s="16"/>
      <c r="BX63" s="44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72">
        <v>6</v>
      </c>
      <c r="DN63" s="69" t="str">
        <f>Sheet3!C20</f>
        <v>1cX70</v>
      </c>
      <c r="DO63" s="69" t="str">
        <f>Sheet3!C55</f>
        <v>1cX240  </v>
      </c>
      <c r="DP63" s="69" t="str">
        <f>Sheet3!C151</f>
        <v>1cX 630  </v>
      </c>
      <c r="DQ63" s="69"/>
      <c r="DR63" s="73" t="s">
        <v>57</v>
      </c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</row>
    <row r="64" spans="1:135" s="5" customFormat="1" ht="12.75" customHeight="1">
      <c r="A64" s="266"/>
      <c r="B64" s="267"/>
      <c r="C64" s="270"/>
      <c r="D64" s="270"/>
      <c r="E64" s="266"/>
      <c r="F64" s="266"/>
      <c r="G64" s="266"/>
      <c r="H64" s="262"/>
      <c r="I64" s="270"/>
      <c r="J64" s="266"/>
      <c r="K64" s="266"/>
      <c r="L64" s="266"/>
      <c r="M64" s="266"/>
      <c r="N64" s="247"/>
      <c r="O64" s="247"/>
      <c r="P64" s="247"/>
      <c r="Q64" s="247"/>
      <c r="R64" s="247"/>
      <c r="S64" s="247"/>
      <c r="T64" s="272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7"/>
      <c r="AP64" s="247"/>
      <c r="AQ64" s="247"/>
      <c r="AR64" s="247"/>
      <c r="AS64" s="247"/>
      <c r="AT64" s="247"/>
      <c r="AU64" s="247"/>
      <c r="AV64" s="247"/>
      <c r="AW64" s="272"/>
      <c r="AX64" s="272"/>
      <c r="AY64" s="247"/>
      <c r="AZ64" s="273"/>
      <c r="BA64" s="273"/>
      <c r="BB64" s="273"/>
      <c r="BC64" s="273"/>
      <c r="BD64" s="273"/>
      <c r="BE64" s="273"/>
      <c r="BF64" s="273"/>
      <c r="BG64" s="273"/>
      <c r="BH64" s="273"/>
      <c r="BI64" s="247"/>
      <c r="BJ64" s="274"/>
      <c r="BK64" s="274"/>
      <c r="BL64" s="43"/>
      <c r="BM64" s="43"/>
      <c r="BN64" s="43"/>
      <c r="BO64" s="43"/>
      <c r="BP64" s="43"/>
      <c r="BQ64" s="43"/>
      <c r="BR64" s="43"/>
      <c r="BS64" s="43"/>
      <c r="BT64" s="43"/>
      <c r="BU64" s="19"/>
      <c r="BV64" s="16"/>
      <c r="BW64" s="16"/>
      <c r="BX64" s="44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72">
        <v>7</v>
      </c>
      <c r="DN64" s="69" t="str">
        <f>Sheet3!C21</f>
        <v>1cX95</v>
      </c>
      <c r="DO64" s="69" t="str">
        <f>Sheet3!C56</f>
        <v>1cX300  </v>
      </c>
      <c r="DP64" s="69" t="str">
        <f>Sheet3!C152</f>
        <v>1cX800  </v>
      </c>
      <c r="DQ64" s="69"/>
      <c r="DR64" s="73" t="s">
        <v>58</v>
      </c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</row>
    <row r="65" spans="1:135" s="5" customFormat="1" ht="12.75" customHeight="1">
      <c r="A65" s="266"/>
      <c r="B65" s="267"/>
      <c r="C65" s="270"/>
      <c r="D65" s="270"/>
      <c r="E65" s="266"/>
      <c r="F65" s="266"/>
      <c r="G65" s="266"/>
      <c r="H65" s="262"/>
      <c r="I65" s="270"/>
      <c r="J65" s="266"/>
      <c r="K65" s="266"/>
      <c r="L65" s="266"/>
      <c r="M65" s="266"/>
      <c r="N65" s="247"/>
      <c r="O65" s="247"/>
      <c r="P65" s="247"/>
      <c r="Q65" s="247"/>
      <c r="R65" s="247"/>
      <c r="S65" s="247"/>
      <c r="T65" s="272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7"/>
      <c r="AK65" s="247"/>
      <c r="AL65" s="247"/>
      <c r="AM65" s="247"/>
      <c r="AN65" s="247"/>
      <c r="AO65" s="247"/>
      <c r="AP65" s="247"/>
      <c r="AQ65" s="247"/>
      <c r="AR65" s="247"/>
      <c r="AS65" s="247"/>
      <c r="AT65" s="247"/>
      <c r="AU65" s="247"/>
      <c r="AV65" s="247"/>
      <c r="AW65" s="272"/>
      <c r="AX65" s="272"/>
      <c r="AY65" s="247"/>
      <c r="AZ65" s="273"/>
      <c r="BA65" s="273"/>
      <c r="BB65" s="273"/>
      <c r="BC65" s="273"/>
      <c r="BD65" s="273"/>
      <c r="BE65" s="273"/>
      <c r="BF65" s="273"/>
      <c r="BG65" s="273"/>
      <c r="BH65" s="273"/>
      <c r="BI65" s="247"/>
      <c r="BJ65" s="274"/>
      <c r="BK65" s="274"/>
      <c r="BL65" s="43"/>
      <c r="BM65" s="43"/>
      <c r="BN65" s="43"/>
      <c r="BO65" s="43"/>
      <c r="BP65" s="43"/>
      <c r="BQ65" s="43"/>
      <c r="BR65" s="43"/>
      <c r="BS65" s="43"/>
      <c r="BT65" s="43"/>
      <c r="BU65" s="19"/>
      <c r="BV65" s="16"/>
      <c r="BW65" s="16"/>
      <c r="BX65" s="44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72">
        <v>8</v>
      </c>
      <c r="DN65" s="69" t="str">
        <f>Sheet3!C22</f>
        <v>1cX120</v>
      </c>
      <c r="DO65" s="69" t="str">
        <f>Sheet3!C57</f>
        <v>1cX400  </v>
      </c>
      <c r="DP65" s="69" t="str">
        <f>Sheet3!C153</f>
        <v>1cX1000  </v>
      </c>
      <c r="DQ65" s="69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</row>
    <row r="66" spans="1:135" s="5" customFormat="1" ht="12.75" customHeight="1">
      <c r="A66" s="266"/>
      <c r="B66" s="267"/>
      <c r="C66" s="270"/>
      <c r="D66" s="270"/>
      <c r="E66" s="266"/>
      <c r="F66" s="266"/>
      <c r="G66" s="266"/>
      <c r="H66" s="266"/>
      <c r="I66" s="270"/>
      <c r="J66" s="266"/>
      <c r="K66" s="266"/>
      <c r="L66" s="266"/>
      <c r="M66" s="266"/>
      <c r="N66" s="247"/>
      <c r="O66" s="247"/>
      <c r="P66" s="247"/>
      <c r="Q66" s="247"/>
      <c r="R66" s="247"/>
      <c r="S66" s="247"/>
      <c r="T66" s="272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247"/>
      <c r="AK66" s="247"/>
      <c r="AL66" s="247"/>
      <c r="AM66" s="247"/>
      <c r="AN66" s="247"/>
      <c r="AO66" s="247"/>
      <c r="AP66" s="247"/>
      <c r="AQ66" s="247"/>
      <c r="AR66" s="247"/>
      <c r="AS66" s="247"/>
      <c r="AT66" s="247"/>
      <c r="AU66" s="247"/>
      <c r="AV66" s="247"/>
      <c r="AW66" s="272"/>
      <c r="AX66" s="272"/>
      <c r="AY66" s="247"/>
      <c r="AZ66" s="273"/>
      <c r="BA66" s="273"/>
      <c r="BB66" s="273"/>
      <c r="BC66" s="273"/>
      <c r="BD66" s="273"/>
      <c r="BE66" s="273"/>
      <c r="BF66" s="273"/>
      <c r="BG66" s="273"/>
      <c r="BH66" s="273"/>
      <c r="BI66" s="247"/>
      <c r="BJ66" s="274"/>
      <c r="BK66" s="274"/>
      <c r="BL66" s="43"/>
      <c r="BM66" s="43"/>
      <c r="BN66" s="43"/>
      <c r="BO66" s="43"/>
      <c r="BP66" s="43"/>
      <c r="BQ66" s="43"/>
      <c r="BR66" s="43"/>
      <c r="BS66" s="43"/>
      <c r="BT66" s="43"/>
      <c r="BU66" s="19"/>
      <c r="BV66" s="16"/>
      <c r="BW66" s="16"/>
      <c r="BX66" s="44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72">
        <v>9</v>
      </c>
      <c r="DN66" s="69" t="str">
        <f>Sheet3!C23</f>
        <v>2cX0.5</v>
      </c>
      <c r="DO66" s="69" t="str">
        <f>Sheet3!C58</f>
        <v>1cX 500  </v>
      </c>
      <c r="DP66" s="69" t="str">
        <f>Sheet3!C154</f>
        <v>3cX 25  </v>
      </c>
      <c r="DQ66" s="69"/>
      <c r="DR66" s="69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</row>
    <row r="67" spans="1:135" s="5" customFormat="1" ht="12.75" customHeight="1">
      <c r="A67" s="266"/>
      <c r="B67" s="267"/>
      <c r="C67" s="270"/>
      <c r="D67" s="270"/>
      <c r="E67" s="266"/>
      <c r="F67" s="266"/>
      <c r="G67" s="266"/>
      <c r="H67" s="266"/>
      <c r="I67" s="270"/>
      <c r="J67" s="266"/>
      <c r="K67" s="266"/>
      <c r="L67" s="266"/>
      <c r="M67" s="266"/>
      <c r="N67" s="247"/>
      <c r="O67" s="247"/>
      <c r="P67" s="247"/>
      <c r="Q67" s="247"/>
      <c r="R67" s="247"/>
      <c r="S67" s="247"/>
      <c r="T67" s="272"/>
      <c r="U67" s="247"/>
      <c r="V67" s="247"/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47"/>
      <c r="AK67" s="247"/>
      <c r="AL67" s="247"/>
      <c r="AM67" s="247"/>
      <c r="AN67" s="247"/>
      <c r="AO67" s="247"/>
      <c r="AP67" s="247"/>
      <c r="AQ67" s="247"/>
      <c r="AR67" s="247"/>
      <c r="AS67" s="247"/>
      <c r="AT67" s="247"/>
      <c r="AU67" s="247"/>
      <c r="AV67" s="247"/>
      <c r="AW67" s="272"/>
      <c r="AX67" s="272"/>
      <c r="AY67" s="247"/>
      <c r="AZ67" s="273"/>
      <c r="BA67" s="273"/>
      <c r="BB67" s="273"/>
      <c r="BC67" s="273"/>
      <c r="BD67" s="273"/>
      <c r="BE67" s="273"/>
      <c r="BF67" s="273"/>
      <c r="BG67" s="273"/>
      <c r="BH67" s="273"/>
      <c r="BI67" s="247"/>
      <c r="BJ67" s="274"/>
      <c r="BK67" s="274"/>
      <c r="BL67" s="43"/>
      <c r="BM67" s="43"/>
      <c r="BN67" s="43"/>
      <c r="BO67" s="43"/>
      <c r="BP67" s="43"/>
      <c r="BQ67" s="43"/>
      <c r="BR67" s="43"/>
      <c r="BS67" s="43"/>
      <c r="BT67" s="43"/>
      <c r="BU67" s="19"/>
      <c r="BV67" s="16"/>
      <c r="BW67" s="16"/>
      <c r="BX67" s="44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72">
        <v>10</v>
      </c>
      <c r="DN67" s="69" t="str">
        <f>Sheet3!C24</f>
        <v>2cX0.75</v>
      </c>
      <c r="DO67" s="69" t="str">
        <f>Sheet3!C59</f>
        <v>1cX 630  </v>
      </c>
      <c r="DP67" s="69" t="str">
        <f>Sheet3!C155</f>
        <v>3cX 35  </v>
      </c>
      <c r="DQ67" s="69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</row>
    <row r="68" spans="1:135" s="5" customFormat="1" ht="12.75" customHeight="1">
      <c r="A68" s="266"/>
      <c r="B68" s="267"/>
      <c r="C68" s="270"/>
      <c r="D68" s="270"/>
      <c r="E68" s="266"/>
      <c r="F68" s="266"/>
      <c r="G68" s="266"/>
      <c r="H68" s="266"/>
      <c r="I68" s="270"/>
      <c r="J68" s="266"/>
      <c r="K68" s="266"/>
      <c r="L68" s="266"/>
      <c r="M68" s="266"/>
      <c r="N68" s="247"/>
      <c r="O68" s="247"/>
      <c r="P68" s="247"/>
      <c r="Q68" s="247"/>
      <c r="R68" s="247"/>
      <c r="S68" s="247"/>
      <c r="T68" s="272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  <c r="AO68" s="247"/>
      <c r="AP68" s="247"/>
      <c r="AQ68" s="247"/>
      <c r="AR68" s="247"/>
      <c r="AS68" s="247"/>
      <c r="AT68" s="247"/>
      <c r="AU68" s="247"/>
      <c r="AV68" s="247"/>
      <c r="AW68" s="272"/>
      <c r="AX68" s="272"/>
      <c r="AY68" s="247"/>
      <c r="AZ68" s="273"/>
      <c r="BA68" s="273"/>
      <c r="BB68" s="273"/>
      <c r="BC68" s="273"/>
      <c r="BD68" s="273"/>
      <c r="BE68" s="273"/>
      <c r="BF68" s="273"/>
      <c r="BG68" s="273"/>
      <c r="BH68" s="273"/>
      <c r="BI68" s="247"/>
      <c r="BJ68" s="274"/>
      <c r="BK68" s="274"/>
      <c r="BL68" s="43"/>
      <c r="BM68" s="43"/>
      <c r="BN68" s="43"/>
      <c r="BO68" s="43"/>
      <c r="BP68" s="43"/>
      <c r="BQ68" s="43"/>
      <c r="BR68" s="43"/>
      <c r="BS68" s="43"/>
      <c r="BT68" s="43"/>
      <c r="BU68" s="19"/>
      <c r="BV68" s="16"/>
      <c r="BW68" s="16"/>
      <c r="BX68" s="44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72"/>
      <c r="DN68" s="69" t="str">
        <f>Sheet3!C25</f>
        <v>2cX1</v>
      </c>
      <c r="DO68" s="69" t="str">
        <f>Sheet3!C60</f>
        <v>1cX800  </v>
      </c>
      <c r="DP68" s="69" t="str">
        <f>Sheet3!C156</f>
        <v>3cX 50  </v>
      </c>
      <c r="DQ68" s="69"/>
      <c r="DR68" s="75" t="s">
        <v>35</v>
      </c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</row>
    <row r="69" spans="1:135" s="5" customFormat="1" ht="12.75" customHeight="1">
      <c r="A69" s="266"/>
      <c r="B69" s="267"/>
      <c r="C69" s="270"/>
      <c r="D69" s="270"/>
      <c r="E69" s="266"/>
      <c r="F69" s="266"/>
      <c r="G69" s="266"/>
      <c r="H69" s="266"/>
      <c r="I69" s="270"/>
      <c r="J69" s="266"/>
      <c r="K69" s="266"/>
      <c r="L69" s="266"/>
      <c r="M69" s="266"/>
      <c r="N69" s="247"/>
      <c r="O69" s="247"/>
      <c r="P69" s="247"/>
      <c r="Q69" s="247"/>
      <c r="R69" s="247"/>
      <c r="S69" s="247"/>
      <c r="T69" s="272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7"/>
      <c r="AP69" s="247"/>
      <c r="AQ69" s="247"/>
      <c r="AR69" s="247"/>
      <c r="AS69" s="247"/>
      <c r="AT69" s="247"/>
      <c r="AU69" s="247"/>
      <c r="AV69" s="247"/>
      <c r="AW69" s="272"/>
      <c r="AX69" s="272"/>
      <c r="AY69" s="247"/>
      <c r="AZ69" s="273"/>
      <c r="BA69" s="273"/>
      <c r="BB69" s="273"/>
      <c r="BC69" s="273"/>
      <c r="BD69" s="273"/>
      <c r="BE69" s="273"/>
      <c r="BF69" s="273"/>
      <c r="BG69" s="273"/>
      <c r="BH69" s="273"/>
      <c r="BI69" s="247"/>
      <c r="BJ69" s="274"/>
      <c r="BK69" s="274"/>
      <c r="BL69" s="43"/>
      <c r="BM69" s="43"/>
      <c r="BN69" s="43"/>
      <c r="BO69" s="43"/>
      <c r="BP69" s="43"/>
      <c r="BQ69" s="43"/>
      <c r="BR69" s="43"/>
      <c r="BS69" s="43"/>
      <c r="BT69" s="43"/>
      <c r="BU69" s="19"/>
      <c r="BV69" s="16"/>
      <c r="BW69" s="16"/>
      <c r="BX69" s="44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76" t="s">
        <v>22</v>
      </c>
      <c r="DN69" s="69" t="str">
        <f>Sheet3!C26</f>
        <v>2cX1.5</v>
      </c>
      <c r="DO69" s="69" t="str">
        <f>Sheet3!C61</f>
        <v>1cX1000  </v>
      </c>
      <c r="DP69" s="69" t="str">
        <f>Sheet3!C157</f>
        <v>3cX 70  </v>
      </c>
      <c r="DQ69" s="69"/>
      <c r="DR69" s="75" t="s">
        <v>36</v>
      </c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</row>
    <row r="70" spans="1:135" s="5" customFormat="1" ht="12.75" customHeight="1">
      <c r="A70" s="266"/>
      <c r="B70" s="267"/>
      <c r="C70" s="270"/>
      <c r="D70" s="270"/>
      <c r="E70" s="266"/>
      <c r="F70" s="266"/>
      <c r="G70" s="266"/>
      <c r="H70" s="266"/>
      <c r="I70" s="270"/>
      <c r="J70" s="266"/>
      <c r="K70" s="266"/>
      <c r="L70" s="266"/>
      <c r="M70" s="266"/>
      <c r="N70" s="247"/>
      <c r="O70" s="247"/>
      <c r="P70" s="247"/>
      <c r="Q70" s="247"/>
      <c r="R70" s="247"/>
      <c r="S70" s="247"/>
      <c r="T70" s="272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247"/>
      <c r="AS70" s="247"/>
      <c r="AT70" s="247"/>
      <c r="AU70" s="247"/>
      <c r="AV70" s="247"/>
      <c r="AW70" s="272"/>
      <c r="AX70" s="272"/>
      <c r="AY70" s="247"/>
      <c r="AZ70" s="273"/>
      <c r="BA70" s="273"/>
      <c r="BB70" s="273"/>
      <c r="BC70" s="273"/>
      <c r="BD70" s="273"/>
      <c r="BE70" s="273"/>
      <c r="BF70" s="273"/>
      <c r="BG70" s="273"/>
      <c r="BH70" s="273"/>
      <c r="BI70" s="247"/>
      <c r="BJ70" s="274"/>
      <c r="BK70" s="274"/>
      <c r="BL70" s="43"/>
      <c r="BM70" s="43"/>
      <c r="BN70" s="43"/>
      <c r="BO70" s="43"/>
      <c r="BP70" s="43"/>
      <c r="BQ70" s="43"/>
      <c r="BR70" s="43"/>
      <c r="BS70" s="43"/>
      <c r="BT70" s="43"/>
      <c r="BU70" s="19"/>
      <c r="BV70" s="16"/>
      <c r="BW70" s="16"/>
      <c r="BX70" s="44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76" t="s">
        <v>23</v>
      </c>
      <c r="DN70" s="69" t="str">
        <f>Sheet3!C27</f>
        <v>2cX2.5</v>
      </c>
      <c r="DO70" s="69" t="str">
        <f>Sheet3!C62</f>
        <v>2cX1.5</v>
      </c>
      <c r="DP70" s="69" t="str">
        <f>Sheet3!C158</f>
        <v>3cX 95  </v>
      </c>
      <c r="DQ70" s="69"/>
      <c r="DR70" s="75" t="s">
        <v>37</v>
      </c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</row>
    <row r="71" spans="1:135" s="5" customFormat="1" ht="12.75" customHeight="1">
      <c r="A71" s="266"/>
      <c r="B71" s="267"/>
      <c r="C71" s="270"/>
      <c r="D71" s="270"/>
      <c r="E71" s="266"/>
      <c r="F71" s="266"/>
      <c r="G71" s="266"/>
      <c r="H71" s="266"/>
      <c r="I71" s="270"/>
      <c r="J71" s="266"/>
      <c r="K71" s="266"/>
      <c r="L71" s="266"/>
      <c r="M71" s="266"/>
      <c r="N71" s="247"/>
      <c r="O71" s="247"/>
      <c r="P71" s="247"/>
      <c r="Q71" s="247"/>
      <c r="R71" s="247"/>
      <c r="S71" s="247"/>
      <c r="T71" s="272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247"/>
      <c r="AK71" s="247"/>
      <c r="AL71" s="247"/>
      <c r="AM71" s="247"/>
      <c r="AN71" s="247"/>
      <c r="AO71" s="247"/>
      <c r="AP71" s="247"/>
      <c r="AQ71" s="247"/>
      <c r="AR71" s="247"/>
      <c r="AS71" s="247"/>
      <c r="AT71" s="247"/>
      <c r="AU71" s="247"/>
      <c r="AV71" s="247"/>
      <c r="AW71" s="272"/>
      <c r="AX71" s="272"/>
      <c r="AY71" s="247"/>
      <c r="AZ71" s="273"/>
      <c r="BA71" s="273"/>
      <c r="BB71" s="273"/>
      <c r="BC71" s="273"/>
      <c r="BD71" s="273"/>
      <c r="BE71" s="273"/>
      <c r="BF71" s="273"/>
      <c r="BG71" s="273"/>
      <c r="BH71" s="273"/>
      <c r="BI71" s="247"/>
      <c r="BJ71" s="274"/>
      <c r="BK71" s="274"/>
      <c r="BL71" s="43"/>
      <c r="BM71" s="43"/>
      <c r="BN71" s="43"/>
      <c r="BO71" s="43"/>
      <c r="BP71" s="43"/>
      <c r="BQ71" s="43"/>
      <c r="BR71" s="43"/>
      <c r="BS71" s="43"/>
      <c r="BT71" s="43"/>
      <c r="BU71" s="19"/>
      <c r="BV71" s="16"/>
      <c r="BW71" s="16"/>
      <c r="BX71" s="44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72"/>
      <c r="DN71" s="69" t="str">
        <f>Sheet3!C28</f>
        <v>2cX4</v>
      </c>
      <c r="DO71" s="69" t="str">
        <f>Sheet3!C63</f>
        <v>2cX2.5</v>
      </c>
      <c r="DP71" s="69" t="str">
        <f>Sheet3!C159</f>
        <v>3cX 120  </v>
      </c>
      <c r="DQ71" s="69"/>
      <c r="DR71" s="75" t="s">
        <v>38</v>
      </c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</row>
    <row r="72" spans="1:135" s="5" customFormat="1" ht="12.75" customHeight="1">
      <c r="A72" s="266"/>
      <c r="B72" s="267"/>
      <c r="C72" s="270"/>
      <c r="D72" s="270"/>
      <c r="E72" s="266"/>
      <c r="F72" s="266"/>
      <c r="G72" s="266"/>
      <c r="H72" s="266"/>
      <c r="I72" s="270"/>
      <c r="J72" s="266"/>
      <c r="K72" s="266"/>
      <c r="L72" s="266"/>
      <c r="M72" s="266"/>
      <c r="N72" s="247"/>
      <c r="O72" s="247"/>
      <c r="P72" s="247"/>
      <c r="Q72" s="247"/>
      <c r="R72" s="247"/>
      <c r="S72" s="247"/>
      <c r="T72" s="272"/>
      <c r="U72" s="247"/>
      <c r="V72" s="247"/>
      <c r="W72" s="247"/>
      <c r="X72" s="247"/>
      <c r="Y72" s="247"/>
      <c r="Z72" s="247"/>
      <c r="AA72" s="247"/>
      <c r="AB72" s="247"/>
      <c r="AC72" s="247"/>
      <c r="AD72" s="247"/>
      <c r="AE72" s="247"/>
      <c r="AF72" s="247"/>
      <c r="AG72" s="247"/>
      <c r="AH72" s="247"/>
      <c r="AI72" s="247"/>
      <c r="AJ72" s="247"/>
      <c r="AK72" s="247"/>
      <c r="AL72" s="247"/>
      <c r="AM72" s="247"/>
      <c r="AN72" s="247"/>
      <c r="AO72" s="247"/>
      <c r="AP72" s="247"/>
      <c r="AQ72" s="247"/>
      <c r="AR72" s="247"/>
      <c r="AS72" s="247"/>
      <c r="AT72" s="247"/>
      <c r="AU72" s="247"/>
      <c r="AV72" s="247"/>
      <c r="AW72" s="272"/>
      <c r="AX72" s="272"/>
      <c r="AY72" s="247"/>
      <c r="AZ72" s="273"/>
      <c r="BA72" s="273"/>
      <c r="BB72" s="273"/>
      <c r="BC72" s="273"/>
      <c r="BD72" s="273"/>
      <c r="BE72" s="273"/>
      <c r="BF72" s="273"/>
      <c r="BG72" s="273"/>
      <c r="BH72" s="273"/>
      <c r="BI72" s="247"/>
      <c r="BJ72" s="274"/>
      <c r="BK72" s="274"/>
      <c r="BL72" s="43"/>
      <c r="BM72" s="43"/>
      <c r="BN72" s="43"/>
      <c r="BO72" s="43"/>
      <c r="BP72" s="43"/>
      <c r="BQ72" s="43"/>
      <c r="BR72" s="43"/>
      <c r="BS72" s="43"/>
      <c r="BT72" s="43"/>
      <c r="BU72" s="19"/>
      <c r="BV72" s="16"/>
      <c r="BW72" s="16"/>
      <c r="BX72" s="44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72"/>
      <c r="DN72" s="69" t="str">
        <f>Sheet3!C29</f>
        <v>3cX0.5</v>
      </c>
      <c r="DO72" s="69" t="str">
        <f>Sheet3!C64</f>
        <v>2cX4</v>
      </c>
      <c r="DP72" s="69" t="str">
        <f>Sheet3!C160</f>
        <v>3cX 150  </v>
      </c>
      <c r="DQ72" s="69"/>
      <c r="DR72" s="75" t="s">
        <v>39</v>
      </c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</row>
    <row r="73" spans="1:135" s="5" customFormat="1" ht="12.75" customHeight="1">
      <c r="A73" s="266"/>
      <c r="B73" s="267"/>
      <c r="C73" s="270"/>
      <c r="D73" s="270"/>
      <c r="E73" s="266"/>
      <c r="F73" s="266"/>
      <c r="G73" s="266"/>
      <c r="H73" s="266"/>
      <c r="I73" s="270"/>
      <c r="J73" s="266"/>
      <c r="K73" s="266"/>
      <c r="L73" s="266"/>
      <c r="M73" s="266"/>
      <c r="N73" s="247"/>
      <c r="O73" s="247"/>
      <c r="P73" s="247"/>
      <c r="Q73" s="247"/>
      <c r="R73" s="247"/>
      <c r="S73" s="247"/>
      <c r="T73" s="272"/>
      <c r="U73" s="247"/>
      <c r="V73" s="247"/>
      <c r="W73" s="247"/>
      <c r="X73" s="247"/>
      <c r="Y73" s="247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47"/>
      <c r="AK73" s="247"/>
      <c r="AL73" s="247"/>
      <c r="AM73" s="247"/>
      <c r="AN73" s="247"/>
      <c r="AO73" s="247"/>
      <c r="AP73" s="247"/>
      <c r="AQ73" s="247"/>
      <c r="AR73" s="247"/>
      <c r="AS73" s="247"/>
      <c r="AT73" s="247"/>
      <c r="AU73" s="247"/>
      <c r="AV73" s="247"/>
      <c r="AW73" s="272"/>
      <c r="AX73" s="272"/>
      <c r="AY73" s="247"/>
      <c r="AZ73" s="273"/>
      <c r="BA73" s="273"/>
      <c r="BB73" s="273"/>
      <c r="BC73" s="273"/>
      <c r="BD73" s="273"/>
      <c r="BE73" s="273"/>
      <c r="BF73" s="273"/>
      <c r="BG73" s="273"/>
      <c r="BH73" s="273"/>
      <c r="BI73" s="247"/>
      <c r="BJ73" s="274"/>
      <c r="BK73" s="274"/>
      <c r="BL73" s="43"/>
      <c r="BM73" s="43"/>
      <c r="BN73" s="43"/>
      <c r="BO73" s="43"/>
      <c r="BP73" s="43"/>
      <c r="BQ73" s="43"/>
      <c r="BR73" s="43"/>
      <c r="BS73" s="43"/>
      <c r="BT73" s="43"/>
      <c r="BU73" s="19"/>
      <c r="BV73" s="16"/>
      <c r="BW73" s="16"/>
      <c r="BX73" s="44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72"/>
      <c r="DN73" s="69" t="str">
        <f>Sheet3!C30</f>
        <v>3cX0.75</v>
      </c>
      <c r="DO73" s="69" t="str">
        <f>Sheet3!C65</f>
        <v> 2cX 6  </v>
      </c>
      <c r="DP73" s="69" t="str">
        <f>Sheet3!C161</f>
        <v>3cX 185  </v>
      </c>
      <c r="DQ73" s="69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</row>
    <row r="74" spans="1:135" s="5" customFormat="1" ht="12.75" customHeight="1">
      <c r="A74" s="266"/>
      <c r="B74" s="267"/>
      <c r="C74" s="270"/>
      <c r="D74" s="270"/>
      <c r="E74" s="266"/>
      <c r="F74" s="266"/>
      <c r="G74" s="266"/>
      <c r="H74" s="266"/>
      <c r="I74" s="270"/>
      <c r="J74" s="266"/>
      <c r="K74" s="266"/>
      <c r="L74" s="266"/>
      <c r="M74" s="266"/>
      <c r="N74" s="247"/>
      <c r="O74" s="247"/>
      <c r="P74" s="247"/>
      <c r="Q74" s="247"/>
      <c r="R74" s="247"/>
      <c r="S74" s="247"/>
      <c r="T74" s="272"/>
      <c r="U74" s="247"/>
      <c r="V74" s="247"/>
      <c r="W74" s="247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  <c r="AH74" s="247"/>
      <c r="AI74" s="247"/>
      <c r="AJ74" s="247"/>
      <c r="AK74" s="247"/>
      <c r="AL74" s="247"/>
      <c r="AM74" s="247"/>
      <c r="AN74" s="247"/>
      <c r="AO74" s="247"/>
      <c r="AP74" s="247"/>
      <c r="AQ74" s="247"/>
      <c r="AR74" s="247"/>
      <c r="AS74" s="247"/>
      <c r="AT74" s="247"/>
      <c r="AU74" s="247"/>
      <c r="AV74" s="247"/>
      <c r="AW74" s="272"/>
      <c r="AX74" s="272"/>
      <c r="AY74" s="247"/>
      <c r="AZ74" s="273"/>
      <c r="BA74" s="273"/>
      <c r="BB74" s="273"/>
      <c r="BC74" s="273"/>
      <c r="BD74" s="273"/>
      <c r="BE74" s="273"/>
      <c r="BF74" s="273"/>
      <c r="BG74" s="273"/>
      <c r="BH74" s="273"/>
      <c r="BI74" s="247"/>
      <c r="BJ74" s="274"/>
      <c r="BK74" s="274"/>
      <c r="BL74" s="43"/>
      <c r="BM74" s="43"/>
      <c r="BN74" s="43"/>
      <c r="BO74" s="43"/>
      <c r="BP74" s="43"/>
      <c r="BQ74" s="43"/>
      <c r="BR74" s="43"/>
      <c r="BS74" s="43"/>
      <c r="BT74" s="43"/>
      <c r="BU74" s="19"/>
      <c r="BV74" s="16"/>
      <c r="BW74" s="16"/>
      <c r="BX74" s="44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72"/>
      <c r="DN74" s="69" t="str">
        <f>Sheet3!C31</f>
        <v>3cX1</v>
      </c>
      <c r="DO74" s="69" t="str">
        <f>Sheet3!C66</f>
        <v>2cX10  </v>
      </c>
      <c r="DP74" s="69" t="str">
        <f>Sheet3!C162</f>
        <v>3cX 240  </v>
      </c>
      <c r="DQ74" s="69"/>
      <c r="DR74" s="73" t="s">
        <v>52</v>
      </c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</row>
    <row r="75" spans="1:135" s="5" customFormat="1" ht="12.75" customHeight="1">
      <c r="A75" s="266"/>
      <c r="B75" s="267"/>
      <c r="C75" s="270"/>
      <c r="D75" s="270"/>
      <c r="E75" s="266"/>
      <c r="F75" s="266"/>
      <c r="G75" s="266"/>
      <c r="H75" s="266"/>
      <c r="I75" s="270"/>
      <c r="J75" s="266"/>
      <c r="K75" s="266"/>
      <c r="L75" s="266"/>
      <c r="M75" s="266"/>
      <c r="N75" s="247"/>
      <c r="O75" s="247"/>
      <c r="P75" s="247"/>
      <c r="Q75" s="247"/>
      <c r="R75" s="247"/>
      <c r="S75" s="247"/>
      <c r="T75" s="272"/>
      <c r="U75" s="247"/>
      <c r="V75" s="247"/>
      <c r="W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  <c r="AH75" s="247"/>
      <c r="AI75" s="247"/>
      <c r="AJ75" s="247"/>
      <c r="AK75" s="247"/>
      <c r="AL75" s="247"/>
      <c r="AM75" s="247"/>
      <c r="AN75" s="247"/>
      <c r="AO75" s="247"/>
      <c r="AP75" s="247"/>
      <c r="AQ75" s="247"/>
      <c r="AR75" s="247"/>
      <c r="AS75" s="247"/>
      <c r="AT75" s="247"/>
      <c r="AU75" s="247"/>
      <c r="AV75" s="247"/>
      <c r="AW75" s="272"/>
      <c r="AX75" s="272"/>
      <c r="AY75" s="247"/>
      <c r="AZ75" s="273"/>
      <c r="BA75" s="273"/>
      <c r="BB75" s="273"/>
      <c r="BC75" s="273"/>
      <c r="BD75" s="273"/>
      <c r="BE75" s="273"/>
      <c r="BF75" s="273"/>
      <c r="BG75" s="273"/>
      <c r="BH75" s="273"/>
      <c r="BI75" s="247"/>
      <c r="BJ75" s="274"/>
      <c r="BK75" s="274"/>
      <c r="BL75" s="43"/>
      <c r="BM75" s="43"/>
      <c r="BN75" s="43"/>
      <c r="BO75" s="43"/>
      <c r="BP75" s="43"/>
      <c r="BQ75" s="43"/>
      <c r="BR75" s="43"/>
      <c r="BS75" s="43"/>
      <c r="BT75" s="43"/>
      <c r="BU75" s="19"/>
      <c r="BV75" s="16"/>
      <c r="BW75" s="16"/>
      <c r="BX75" s="44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72"/>
      <c r="DN75" s="69" t="str">
        <f>Sheet3!C32</f>
        <v>3cX1.5</v>
      </c>
      <c r="DO75" s="69" t="str">
        <f>Sheet3!C67</f>
        <v>2cX16  </v>
      </c>
      <c r="DP75" s="69" t="str">
        <f>Sheet3!C163</f>
        <v>3cX 300  </v>
      </c>
      <c r="DQ75" s="69"/>
      <c r="DR75" s="75">
        <v>1</v>
      </c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</row>
    <row r="76" spans="1:135" s="5" customFormat="1" ht="12.75" customHeight="1">
      <c r="A76" s="266"/>
      <c r="B76" s="267"/>
      <c r="C76" s="270"/>
      <c r="D76" s="270"/>
      <c r="E76" s="266"/>
      <c r="F76" s="266"/>
      <c r="G76" s="266"/>
      <c r="H76" s="266"/>
      <c r="I76" s="270"/>
      <c r="J76" s="266"/>
      <c r="K76" s="266"/>
      <c r="L76" s="266"/>
      <c r="M76" s="266"/>
      <c r="N76" s="247"/>
      <c r="O76" s="247"/>
      <c r="P76" s="247"/>
      <c r="Q76" s="247"/>
      <c r="R76" s="247"/>
      <c r="S76" s="247"/>
      <c r="T76" s="272"/>
      <c r="U76" s="247"/>
      <c r="V76" s="247"/>
      <c r="W76" s="247"/>
      <c r="X76" s="247"/>
      <c r="Y76" s="247"/>
      <c r="Z76" s="247"/>
      <c r="AA76" s="247"/>
      <c r="AB76" s="247"/>
      <c r="AC76" s="247"/>
      <c r="AD76" s="247"/>
      <c r="AE76" s="247"/>
      <c r="AF76" s="247"/>
      <c r="AG76" s="247"/>
      <c r="AH76" s="247"/>
      <c r="AI76" s="247"/>
      <c r="AJ76" s="247"/>
      <c r="AK76" s="247"/>
      <c r="AL76" s="247"/>
      <c r="AM76" s="247"/>
      <c r="AN76" s="247"/>
      <c r="AO76" s="247"/>
      <c r="AP76" s="247"/>
      <c r="AQ76" s="247"/>
      <c r="AR76" s="247"/>
      <c r="AS76" s="247"/>
      <c r="AT76" s="247"/>
      <c r="AU76" s="247"/>
      <c r="AV76" s="247"/>
      <c r="AW76" s="272"/>
      <c r="AX76" s="272"/>
      <c r="AY76" s="247"/>
      <c r="AZ76" s="273"/>
      <c r="BA76" s="273"/>
      <c r="BB76" s="273"/>
      <c r="BC76" s="273"/>
      <c r="BD76" s="273"/>
      <c r="BE76" s="273"/>
      <c r="BF76" s="273"/>
      <c r="BG76" s="273"/>
      <c r="BH76" s="273"/>
      <c r="BI76" s="247"/>
      <c r="BJ76" s="274"/>
      <c r="BK76" s="274"/>
      <c r="BL76" s="43"/>
      <c r="BM76" s="43"/>
      <c r="BN76" s="43"/>
      <c r="BO76" s="43"/>
      <c r="BP76" s="43"/>
      <c r="BQ76" s="43"/>
      <c r="BR76" s="43"/>
      <c r="BS76" s="43"/>
      <c r="BT76" s="43"/>
      <c r="BU76" s="19"/>
      <c r="BV76" s="16"/>
      <c r="BW76" s="16"/>
      <c r="BX76" s="44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72"/>
      <c r="DN76" s="69" t="str">
        <f>Sheet3!C33</f>
        <v>3cX2.5</v>
      </c>
      <c r="DO76" s="69" t="str">
        <f>Sheet3!C68</f>
        <v>2cX25  </v>
      </c>
      <c r="DP76" s="69" t="str">
        <f>Sheet3!C164</f>
        <v>3cX 400  </v>
      </c>
      <c r="DQ76" s="69"/>
      <c r="DR76" s="75">
        <v>1.5</v>
      </c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</row>
    <row r="77" spans="1:135" s="5" customFormat="1" ht="12.75" customHeight="1">
      <c r="A77" s="266"/>
      <c r="B77" s="267"/>
      <c r="C77" s="270"/>
      <c r="D77" s="270"/>
      <c r="E77" s="266"/>
      <c r="F77" s="266"/>
      <c r="G77" s="266"/>
      <c r="H77" s="266"/>
      <c r="I77" s="270"/>
      <c r="J77" s="266"/>
      <c r="K77" s="266"/>
      <c r="L77" s="266"/>
      <c r="M77" s="266"/>
      <c r="N77" s="247"/>
      <c r="O77" s="247"/>
      <c r="P77" s="247"/>
      <c r="Q77" s="247"/>
      <c r="R77" s="247"/>
      <c r="S77" s="247"/>
      <c r="T77" s="272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7"/>
      <c r="AF77" s="247"/>
      <c r="AG77" s="247"/>
      <c r="AH77" s="247"/>
      <c r="AI77" s="247"/>
      <c r="AJ77" s="247"/>
      <c r="AK77" s="247"/>
      <c r="AL77" s="247"/>
      <c r="AM77" s="247"/>
      <c r="AN77" s="247"/>
      <c r="AO77" s="247"/>
      <c r="AP77" s="247"/>
      <c r="AQ77" s="247"/>
      <c r="AR77" s="247"/>
      <c r="AS77" s="247"/>
      <c r="AT77" s="247"/>
      <c r="AU77" s="247"/>
      <c r="AV77" s="247"/>
      <c r="AW77" s="272"/>
      <c r="AX77" s="272"/>
      <c r="AY77" s="247"/>
      <c r="AZ77" s="273"/>
      <c r="BA77" s="273"/>
      <c r="BB77" s="273"/>
      <c r="BC77" s="273"/>
      <c r="BD77" s="273"/>
      <c r="BE77" s="273"/>
      <c r="BF77" s="273"/>
      <c r="BG77" s="273"/>
      <c r="BH77" s="273"/>
      <c r="BI77" s="247"/>
      <c r="BJ77" s="274"/>
      <c r="BK77" s="274"/>
      <c r="BL77" s="43"/>
      <c r="BM77" s="43"/>
      <c r="BN77" s="43"/>
      <c r="BO77" s="43"/>
      <c r="BP77" s="43"/>
      <c r="BQ77" s="43"/>
      <c r="BR77" s="43"/>
      <c r="BS77" s="43"/>
      <c r="BT77" s="43"/>
      <c r="BU77" s="19"/>
      <c r="BV77" s="16"/>
      <c r="BW77" s="16"/>
      <c r="BX77" s="44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72"/>
      <c r="DN77" s="69" t="str">
        <f>Sheet3!C34</f>
        <v>3cX4</v>
      </c>
      <c r="DO77" s="69" t="str">
        <f>Sheet3!C69</f>
        <v>2cX35  </v>
      </c>
      <c r="DP77" s="69"/>
      <c r="DQ77" s="69"/>
      <c r="DR77" s="75">
        <v>2</v>
      </c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</row>
    <row r="78" spans="1:135" s="5" customFormat="1" ht="12.75" customHeight="1">
      <c r="A78" s="266"/>
      <c r="B78" s="267"/>
      <c r="C78" s="270"/>
      <c r="D78" s="270"/>
      <c r="E78" s="266"/>
      <c r="F78" s="266"/>
      <c r="G78" s="266"/>
      <c r="H78" s="266"/>
      <c r="I78" s="270"/>
      <c r="J78" s="266"/>
      <c r="K78" s="266"/>
      <c r="L78" s="266"/>
      <c r="M78" s="266"/>
      <c r="N78" s="247"/>
      <c r="O78" s="247"/>
      <c r="P78" s="247"/>
      <c r="Q78" s="247"/>
      <c r="R78" s="247"/>
      <c r="S78" s="247"/>
      <c r="T78" s="272"/>
      <c r="U78" s="247"/>
      <c r="V78" s="247"/>
      <c r="W78" s="247"/>
      <c r="X78" s="247"/>
      <c r="Y78" s="247"/>
      <c r="Z78" s="247"/>
      <c r="AA78" s="247"/>
      <c r="AB78" s="247"/>
      <c r="AC78" s="247"/>
      <c r="AD78" s="247"/>
      <c r="AE78" s="247"/>
      <c r="AF78" s="247"/>
      <c r="AG78" s="247"/>
      <c r="AH78" s="247"/>
      <c r="AI78" s="247"/>
      <c r="AJ78" s="247"/>
      <c r="AK78" s="247"/>
      <c r="AL78" s="247"/>
      <c r="AM78" s="247"/>
      <c r="AN78" s="247"/>
      <c r="AO78" s="247"/>
      <c r="AP78" s="247"/>
      <c r="AQ78" s="247"/>
      <c r="AR78" s="247"/>
      <c r="AS78" s="247"/>
      <c r="AT78" s="247"/>
      <c r="AU78" s="247"/>
      <c r="AV78" s="247"/>
      <c r="AW78" s="272"/>
      <c r="AX78" s="272"/>
      <c r="AY78" s="247"/>
      <c r="AZ78" s="273"/>
      <c r="BA78" s="273"/>
      <c r="BB78" s="273"/>
      <c r="BC78" s="273"/>
      <c r="BD78" s="273"/>
      <c r="BE78" s="273"/>
      <c r="BF78" s="273"/>
      <c r="BG78" s="273"/>
      <c r="BH78" s="273"/>
      <c r="BI78" s="247"/>
      <c r="BJ78" s="274"/>
      <c r="BK78" s="274"/>
      <c r="BL78" s="43"/>
      <c r="BM78" s="43"/>
      <c r="BN78" s="43"/>
      <c r="BO78" s="43"/>
      <c r="BP78" s="43"/>
      <c r="BQ78" s="43"/>
      <c r="BR78" s="43"/>
      <c r="BS78" s="43"/>
      <c r="BT78" s="43"/>
      <c r="BU78" s="19"/>
      <c r="BV78" s="16"/>
      <c r="BW78" s="16"/>
      <c r="BX78" s="44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72"/>
      <c r="DN78" s="69"/>
      <c r="DO78" s="69" t="str">
        <f>Sheet3!C70</f>
        <v>2cX50  </v>
      </c>
      <c r="DP78" s="69"/>
      <c r="DQ78" s="69"/>
      <c r="DR78" s="75">
        <v>2.5</v>
      </c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</row>
    <row r="79" spans="1:135" s="5" customFormat="1" ht="12.75" customHeight="1">
      <c r="A79" s="266"/>
      <c r="B79" s="267"/>
      <c r="C79" s="270"/>
      <c r="D79" s="270"/>
      <c r="E79" s="266"/>
      <c r="F79" s="266"/>
      <c r="G79" s="266"/>
      <c r="H79" s="266"/>
      <c r="I79" s="270"/>
      <c r="J79" s="266"/>
      <c r="K79" s="266"/>
      <c r="L79" s="266"/>
      <c r="M79" s="266"/>
      <c r="N79" s="247"/>
      <c r="O79" s="247"/>
      <c r="P79" s="247"/>
      <c r="Q79" s="247"/>
      <c r="R79" s="247"/>
      <c r="S79" s="247"/>
      <c r="T79" s="272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  <c r="AF79" s="247"/>
      <c r="AG79" s="247"/>
      <c r="AH79" s="247"/>
      <c r="AI79" s="247"/>
      <c r="AJ79" s="247"/>
      <c r="AK79" s="247"/>
      <c r="AL79" s="247"/>
      <c r="AM79" s="247"/>
      <c r="AN79" s="247"/>
      <c r="AO79" s="247"/>
      <c r="AP79" s="247"/>
      <c r="AQ79" s="247"/>
      <c r="AR79" s="247"/>
      <c r="AS79" s="247"/>
      <c r="AT79" s="247"/>
      <c r="AU79" s="247"/>
      <c r="AV79" s="247"/>
      <c r="AW79" s="272"/>
      <c r="AX79" s="272"/>
      <c r="AY79" s="247"/>
      <c r="AZ79" s="273"/>
      <c r="BA79" s="273"/>
      <c r="BB79" s="273"/>
      <c r="BC79" s="273"/>
      <c r="BD79" s="273"/>
      <c r="BE79" s="273"/>
      <c r="BF79" s="273"/>
      <c r="BG79" s="273"/>
      <c r="BH79" s="273"/>
      <c r="BI79" s="247"/>
      <c r="BJ79" s="274"/>
      <c r="BK79" s="274"/>
      <c r="BL79" s="43"/>
      <c r="BM79" s="43"/>
      <c r="BN79" s="43"/>
      <c r="BO79" s="43"/>
      <c r="BP79" s="43"/>
      <c r="BQ79" s="43"/>
      <c r="BR79" s="43"/>
      <c r="BS79" s="43"/>
      <c r="BT79" s="43"/>
      <c r="BU79" s="19"/>
      <c r="BV79" s="16"/>
      <c r="BW79" s="16"/>
      <c r="BX79" s="44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72"/>
      <c r="DN79" s="69"/>
      <c r="DO79" s="69" t="str">
        <f>Sheet3!C71</f>
        <v>2cX70  </v>
      </c>
      <c r="DP79" s="69"/>
      <c r="DQ79" s="69"/>
      <c r="DR79" s="75">
        <v>3</v>
      </c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</row>
    <row r="80" spans="1:135" s="5" customFormat="1" ht="12.75" customHeight="1">
      <c r="A80" s="266"/>
      <c r="B80" s="267"/>
      <c r="C80" s="270"/>
      <c r="D80" s="270"/>
      <c r="E80" s="266"/>
      <c r="F80" s="266"/>
      <c r="G80" s="266"/>
      <c r="H80" s="266"/>
      <c r="I80" s="270"/>
      <c r="J80" s="266"/>
      <c r="K80" s="266"/>
      <c r="L80" s="266"/>
      <c r="M80" s="266"/>
      <c r="N80" s="247"/>
      <c r="O80" s="247"/>
      <c r="P80" s="247"/>
      <c r="Q80" s="247"/>
      <c r="R80" s="247"/>
      <c r="S80" s="247"/>
      <c r="T80" s="272"/>
      <c r="U80" s="247"/>
      <c r="V80" s="247"/>
      <c r="W80" s="247"/>
      <c r="X80" s="247"/>
      <c r="Y80" s="247"/>
      <c r="Z80" s="247"/>
      <c r="AA80" s="247"/>
      <c r="AB80" s="247"/>
      <c r="AC80" s="247"/>
      <c r="AD80" s="247"/>
      <c r="AE80" s="247"/>
      <c r="AF80" s="247"/>
      <c r="AG80" s="247"/>
      <c r="AH80" s="247"/>
      <c r="AI80" s="247"/>
      <c r="AJ80" s="247"/>
      <c r="AK80" s="247"/>
      <c r="AL80" s="247"/>
      <c r="AM80" s="247"/>
      <c r="AN80" s="247"/>
      <c r="AO80" s="247"/>
      <c r="AP80" s="247"/>
      <c r="AQ80" s="247"/>
      <c r="AR80" s="247"/>
      <c r="AS80" s="247"/>
      <c r="AT80" s="247"/>
      <c r="AU80" s="247"/>
      <c r="AV80" s="247"/>
      <c r="AW80" s="272"/>
      <c r="AX80" s="272"/>
      <c r="AY80" s="247"/>
      <c r="AZ80" s="273"/>
      <c r="BA80" s="273"/>
      <c r="BB80" s="273"/>
      <c r="BC80" s="273"/>
      <c r="BD80" s="273"/>
      <c r="BE80" s="273"/>
      <c r="BF80" s="273"/>
      <c r="BG80" s="273"/>
      <c r="BH80" s="273"/>
      <c r="BI80" s="247"/>
      <c r="BJ80" s="274"/>
      <c r="BK80" s="274"/>
      <c r="BL80" s="43"/>
      <c r="BM80" s="43"/>
      <c r="BN80" s="43"/>
      <c r="BO80" s="43"/>
      <c r="BP80" s="43"/>
      <c r="BQ80" s="43"/>
      <c r="BR80" s="43"/>
      <c r="BS80" s="43"/>
      <c r="BT80" s="43"/>
      <c r="BU80" s="19"/>
      <c r="BV80" s="16"/>
      <c r="BW80" s="16"/>
      <c r="BX80" s="44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72"/>
      <c r="DN80" s="69"/>
      <c r="DO80" s="69" t="str">
        <f>Sheet3!C72</f>
        <v>2cX95  </v>
      </c>
      <c r="DP80" s="69"/>
      <c r="DQ80" s="69"/>
      <c r="DR80" s="69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</row>
    <row r="81" spans="1:135" s="5" customFormat="1" ht="12.75" customHeight="1">
      <c r="A81" s="266"/>
      <c r="B81" s="267"/>
      <c r="C81" s="270"/>
      <c r="D81" s="270"/>
      <c r="E81" s="266"/>
      <c r="F81" s="266"/>
      <c r="G81" s="266"/>
      <c r="H81" s="266"/>
      <c r="I81" s="270"/>
      <c r="J81" s="266"/>
      <c r="K81" s="266"/>
      <c r="L81" s="266"/>
      <c r="M81" s="266"/>
      <c r="N81" s="247"/>
      <c r="O81" s="247"/>
      <c r="P81" s="247"/>
      <c r="Q81" s="247"/>
      <c r="R81" s="247"/>
      <c r="S81" s="247"/>
      <c r="T81" s="272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J81" s="247"/>
      <c r="AK81" s="247"/>
      <c r="AL81" s="247"/>
      <c r="AM81" s="247"/>
      <c r="AN81" s="247"/>
      <c r="AO81" s="247"/>
      <c r="AP81" s="247"/>
      <c r="AQ81" s="247"/>
      <c r="AR81" s="247"/>
      <c r="AS81" s="247"/>
      <c r="AT81" s="247"/>
      <c r="AU81" s="247"/>
      <c r="AV81" s="247"/>
      <c r="AW81" s="272"/>
      <c r="AX81" s="272"/>
      <c r="AY81" s="247"/>
      <c r="AZ81" s="273"/>
      <c r="BA81" s="273"/>
      <c r="BB81" s="273"/>
      <c r="BC81" s="273"/>
      <c r="BD81" s="273"/>
      <c r="BE81" s="273"/>
      <c r="BF81" s="273"/>
      <c r="BG81" s="273"/>
      <c r="BH81" s="273"/>
      <c r="BI81" s="247"/>
      <c r="BJ81" s="274"/>
      <c r="BK81" s="274"/>
      <c r="BL81" s="43"/>
      <c r="BM81" s="43"/>
      <c r="BN81" s="43"/>
      <c r="BO81" s="43"/>
      <c r="BP81" s="43"/>
      <c r="BQ81" s="43"/>
      <c r="BR81" s="43"/>
      <c r="BS81" s="43"/>
      <c r="BT81" s="43"/>
      <c r="BU81" s="19"/>
      <c r="BV81" s="16"/>
      <c r="BW81" s="16"/>
      <c r="BX81" s="16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72"/>
      <c r="DN81" s="69"/>
      <c r="DO81" s="69" t="str">
        <f>Sheet3!C73</f>
        <v>2cX120  </v>
      </c>
      <c r="DP81" s="69"/>
      <c r="DQ81" s="69"/>
      <c r="DR81" s="73">
        <v>1</v>
      </c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</row>
    <row r="82" spans="1:135" s="5" customFormat="1" ht="12.75" customHeight="1">
      <c r="A82" s="266"/>
      <c r="B82" s="267"/>
      <c r="C82" s="270"/>
      <c r="D82" s="270"/>
      <c r="E82" s="266"/>
      <c r="F82" s="266"/>
      <c r="G82" s="266"/>
      <c r="H82" s="266"/>
      <c r="I82" s="270"/>
      <c r="J82" s="266"/>
      <c r="K82" s="266"/>
      <c r="L82" s="266"/>
      <c r="M82" s="266"/>
      <c r="N82" s="247"/>
      <c r="O82" s="247"/>
      <c r="P82" s="247"/>
      <c r="Q82" s="247"/>
      <c r="R82" s="247"/>
      <c r="S82" s="247"/>
      <c r="T82" s="272"/>
      <c r="U82" s="247"/>
      <c r="V82" s="247"/>
      <c r="W82" s="247"/>
      <c r="X82" s="247"/>
      <c r="Y82" s="247"/>
      <c r="Z82" s="247"/>
      <c r="AA82" s="247"/>
      <c r="AB82" s="247"/>
      <c r="AC82" s="247"/>
      <c r="AD82" s="247"/>
      <c r="AE82" s="247"/>
      <c r="AF82" s="247"/>
      <c r="AG82" s="247"/>
      <c r="AH82" s="247"/>
      <c r="AI82" s="247"/>
      <c r="AJ82" s="247"/>
      <c r="AK82" s="247"/>
      <c r="AL82" s="247"/>
      <c r="AM82" s="247"/>
      <c r="AN82" s="247"/>
      <c r="AO82" s="247"/>
      <c r="AP82" s="247"/>
      <c r="AQ82" s="247"/>
      <c r="AR82" s="247"/>
      <c r="AS82" s="247"/>
      <c r="AT82" s="247"/>
      <c r="AU82" s="247"/>
      <c r="AV82" s="247"/>
      <c r="AW82" s="272"/>
      <c r="AX82" s="272"/>
      <c r="AY82" s="247"/>
      <c r="AZ82" s="273"/>
      <c r="BA82" s="273"/>
      <c r="BB82" s="273"/>
      <c r="BC82" s="273"/>
      <c r="BD82" s="273"/>
      <c r="BE82" s="273"/>
      <c r="BF82" s="273"/>
      <c r="BG82" s="273"/>
      <c r="BH82" s="273"/>
      <c r="BI82" s="247"/>
      <c r="BJ82" s="274"/>
      <c r="BK82" s="274"/>
      <c r="BL82" s="43"/>
      <c r="BM82" s="43"/>
      <c r="BN82" s="43"/>
      <c r="BO82" s="43"/>
      <c r="BP82" s="43"/>
      <c r="BQ82" s="43"/>
      <c r="BR82" s="43"/>
      <c r="BS82" s="43"/>
      <c r="BT82" s="43"/>
      <c r="BU82" s="19"/>
      <c r="BV82" s="16"/>
      <c r="BW82" s="16"/>
      <c r="BX82" s="16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72"/>
      <c r="DN82" s="69"/>
      <c r="DO82" s="69" t="str">
        <f>Sheet3!C74</f>
        <v>2cX150  </v>
      </c>
      <c r="DP82" s="69"/>
      <c r="DQ82" s="69"/>
      <c r="DR82" s="73">
        <v>2</v>
      </c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</row>
    <row r="83" spans="1:135" s="5" customFormat="1" ht="12.75" customHeight="1">
      <c r="A83" s="266"/>
      <c r="B83" s="267"/>
      <c r="C83" s="270"/>
      <c r="D83" s="270"/>
      <c r="E83" s="266"/>
      <c r="F83" s="266"/>
      <c r="G83" s="266"/>
      <c r="H83" s="266"/>
      <c r="I83" s="270"/>
      <c r="J83" s="266"/>
      <c r="K83" s="266"/>
      <c r="L83" s="266"/>
      <c r="M83" s="266"/>
      <c r="N83" s="247"/>
      <c r="O83" s="247"/>
      <c r="P83" s="247"/>
      <c r="Q83" s="247"/>
      <c r="R83" s="247"/>
      <c r="S83" s="247"/>
      <c r="T83" s="272"/>
      <c r="U83" s="247"/>
      <c r="V83" s="247"/>
      <c r="W83" s="247"/>
      <c r="X83" s="247"/>
      <c r="Y83" s="247"/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7"/>
      <c r="AK83" s="247"/>
      <c r="AL83" s="247"/>
      <c r="AM83" s="247"/>
      <c r="AN83" s="247"/>
      <c r="AO83" s="247"/>
      <c r="AP83" s="247"/>
      <c r="AQ83" s="247"/>
      <c r="AR83" s="247"/>
      <c r="AS83" s="247"/>
      <c r="AT83" s="247"/>
      <c r="AU83" s="247"/>
      <c r="AV83" s="247"/>
      <c r="AW83" s="272"/>
      <c r="AX83" s="272"/>
      <c r="AY83" s="247"/>
      <c r="AZ83" s="273"/>
      <c r="BA83" s="273"/>
      <c r="BB83" s="273"/>
      <c r="BC83" s="273"/>
      <c r="BD83" s="273"/>
      <c r="BE83" s="273"/>
      <c r="BF83" s="273"/>
      <c r="BG83" s="273"/>
      <c r="BH83" s="273"/>
      <c r="BI83" s="247"/>
      <c r="BJ83" s="274"/>
      <c r="BK83" s="274"/>
      <c r="BL83" s="43"/>
      <c r="BM83" s="43"/>
      <c r="BN83" s="43"/>
      <c r="BO83" s="43"/>
      <c r="BP83" s="43"/>
      <c r="BQ83" s="43"/>
      <c r="BR83" s="43"/>
      <c r="BS83" s="43"/>
      <c r="BT83" s="43"/>
      <c r="BU83" s="19"/>
      <c r="BV83" s="16"/>
      <c r="BW83" s="16"/>
      <c r="BX83" s="16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72"/>
      <c r="DN83" s="69"/>
      <c r="DO83" s="69" t="str">
        <f>Sheet3!C75</f>
        <v>2cX185  </v>
      </c>
      <c r="DP83" s="69"/>
      <c r="DQ83" s="69"/>
      <c r="DR83" s="73">
        <v>3</v>
      </c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</row>
    <row r="84" spans="1:135" s="5" customFormat="1" ht="12.75" customHeight="1">
      <c r="A84" s="266"/>
      <c r="B84" s="267"/>
      <c r="C84" s="270"/>
      <c r="D84" s="270"/>
      <c r="E84" s="266"/>
      <c r="F84" s="266"/>
      <c r="G84" s="266"/>
      <c r="H84" s="266"/>
      <c r="I84" s="270"/>
      <c r="J84" s="266"/>
      <c r="K84" s="266"/>
      <c r="L84" s="266"/>
      <c r="M84" s="266"/>
      <c r="N84" s="247"/>
      <c r="O84" s="247"/>
      <c r="P84" s="247"/>
      <c r="Q84" s="247"/>
      <c r="R84" s="247"/>
      <c r="S84" s="247"/>
      <c r="T84" s="272"/>
      <c r="U84" s="247"/>
      <c r="V84" s="247"/>
      <c r="W84" s="247"/>
      <c r="X84" s="247"/>
      <c r="Y84" s="247"/>
      <c r="Z84" s="247"/>
      <c r="AA84" s="247"/>
      <c r="AB84" s="247"/>
      <c r="AC84" s="247"/>
      <c r="AD84" s="247"/>
      <c r="AE84" s="247"/>
      <c r="AF84" s="247"/>
      <c r="AG84" s="247"/>
      <c r="AH84" s="247"/>
      <c r="AI84" s="247"/>
      <c r="AJ84" s="247"/>
      <c r="AK84" s="247"/>
      <c r="AL84" s="247"/>
      <c r="AM84" s="247"/>
      <c r="AN84" s="247"/>
      <c r="AO84" s="247"/>
      <c r="AP84" s="247"/>
      <c r="AQ84" s="247"/>
      <c r="AR84" s="247"/>
      <c r="AS84" s="247"/>
      <c r="AT84" s="247"/>
      <c r="AU84" s="247"/>
      <c r="AV84" s="247"/>
      <c r="AW84" s="272"/>
      <c r="AX84" s="272"/>
      <c r="AY84" s="247"/>
      <c r="AZ84" s="273"/>
      <c r="BA84" s="273"/>
      <c r="BB84" s="273"/>
      <c r="BC84" s="273"/>
      <c r="BD84" s="273"/>
      <c r="BE84" s="273"/>
      <c r="BF84" s="273"/>
      <c r="BG84" s="273"/>
      <c r="BH84" s="273"/>
      <c r="BI84" s="247"/>
      <c r="BJ84" s="274"/>
      <c r="BK84" s="274"/>
      <c r="BL84" s="43"/>
      <c r="BM84" s="43"/>
      <c r="BN84" s="43"/>
      <c r="BO84" s="43"/>
      <c r="BP84" s="43"/>
      <c r="BQ84" s="43"/>
      <c r="BR84" s="43"/>
      <c r="BS84" s="43"/>
      <c r="BT84" s="43"/>
      <c r="BU84" s="19"/>
      <c r="BV84" s="16"/>
      <c r="BW84" s="16"/>
      <c r="BX84" s="16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72"/>
      <c r="DN84" s="69"/>
      <c r="DO84" s="69" t="str">
        <f>Sheet3!C76</f>
        <v>2cX240  </v>
      </c>
      <c r="DP84" s="69"/>
      <c r="DQ84" s="69"/>
      <c r="DR84" s="73">
        <v>4</v>
      </c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</row>
    <row r="85" spans="1:135" s="5" customFormat="1" ht="12.75" customHeight="1">
      <c r="A85" s="266"/>
      <c r="B85" s="267"/>
      <c r="C85" s="270"/>
      <c r="D85" s="270"/>
      <c r="E85" s="266"/>
      <c r="F85" s="266"/>
      <c r="G85" s="266"/>
      <c r="H85" s="266"/>
      <c r="I85" s="270"/>
      <c r="J85" s="266"/>
      <c r="K85" s="266"/>
      <c r="L85" s="266"/>
      <c r="M85" s="266"/>
      <c r="N85" s="247"/>
      <c r="O85" s="247"/>
      <c r="P85" s="247"/>
      <c r="Q85" s="247"/>
      <c r="R85" s="247"/>
      <c r="S85" s="247"/>
      <c r="T85" s="272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  <c r="AI85" s="247"/>
      <c r="AJ85" s="247"/>
      <c r="AK85" s="247"/>
      <c r="AL85" s="247"/>
      <c r="AM85" s="247"/>
      <c r="AN85" s="247"/>
      <c r="AO85" s="247"/>
      <c r="AP85" s="247"/>
      <c r="AQ85" s="247"/>
      <c r="AR85" s="247"/>
      <c r="AS85" s="247"/>
      <c r="AT85" s="247"/>
      <c r="AU85" s="247"/>
      <c r="AV85" s="247"/>
      <c r="AW85" s="272"/>
      <c r="AX85" s="272"/>
      <c r="AY85" s="247"/>
      <c r="AZ85" s="273"/>
      <c r="BA85" s="273"/>
      <c r="BB85" s="273"/>
      <c r="BC85" s="273"/>
      <c r="BD85" s="273"/>
      <c r="BE85" s="273"/>
      <c r="BF85" s="273"/>
      <c r="BG85" s="273"/>
      <c r="BH85" s="273"/>
      <c r="BI85" s="247"/>
      <c r="BJ85" s="274"/>
      <c r="BK85" s="274"/>
      <c r="BL85" s="43"/>
      <c r="BM85" s="43"/>
      <c r="BN85" s="43"/>
      <c r="BO85" s="43"/>
      <c r="BP85" s="43"/>
      <c r="BQ85" s="43"/>
      <c r="BR85" s="43"/>
      <c r="BS85" s="43"/>
      <c r="BT85" s="43"/>
      <c r="BU85" s="19"/>
      <c r="BV85" s="16"/>
      <c r="BW85" s="16"/>
      <c r="BX85" s="16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72"/>
      <c r="DN85" s="69"/>
      <c r="DO85" s="69" t="str">
        <f>Sheet3!C77</f>
        <v>2cX300  </v>
      </c>
      <c r="DP85" s="69"/>
      <c r="DQ85" s="69"/>
      <c r="DR85" s="73">
        <v>5</v>
      </c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</row>
    <row r="86" spans="1:135" s="5" customFormat="1" ht="12.75" customHeight="1">
      <c r="A86" s="266"/>
      <c r="B86" s="267"/>
      <c r="C86" s="270"/>
      <c r="D86" s="270"/>
      <c r="E86" s="266"/>
      <c r="F86" s="266"/>
      <c r="G86" s="266"/>
      <c r="H86" s="266"/>
      <c r="I86" s="270"/>
      <c r="J86" s="266"/>
      <c r="K86" s="266"/>
      <c r="L86" s="266"/>
      <c r="M86" s="266"/>
      <c r="N86" s="247"/>
      <c r="O86" s="247"/>
      <c r="P86" s="247"/>
      <c r="Q86" s="247"/>
      <c r="R86" s="247"/>
      <c r="S86" s="247"/>
      <c r="T86" s="272"/>
      <c r="U86" s="247"/>
      <c r="V86" s="247"/>
      <c r="W86" s="247"/>
      <c r="X86" s="247"/>
      <c r="Y86" s="247"/>
      <c r="Z86" s="247"/>
      <c r="AA86" s="247"/>
      <c r="AB86" s="247"/>
      <c r="AC86" s="247"/>
      <c r="AD86" s="247"/>
      <c r="AE86" s="247"/>
      <c r="AF86" s="247"/>
      <c r="AG86" s="247"/>
      <c r="AH86" s="247"/>
      <c r="AI86" s="247"/>
      <c r="AJ86" s="247"/>
      <c r="AK86" s="247"/>
      <c r="AL86" s="247"/>
      <c r="AM86" s="247"/>
      <c r="AN86" s="247"/>
      <c r="AO86" s="247"/>
      <c r="AP86" s="247"/>
      <c r="AQ86" s="247"/>
      <c r="AR86" s="247"/>
      <c r="AS86" s="247"/>
      <c r="AT86" s="247"/>
      <c r="AU86" s="247"/>
      <c r="AV86" s="247"/>
      <c r="AW86" s="272"/>
      <c r="AX86" s="272"/>
      <c r="AY86" s="247"/>
      <c r="AZ86" s="273"/>
      <c r="BA86" s="273"/>
      <c r="BB86" s="273"/>
      <c r="BC86" s="273"/>
      <c r="BD86" s="273"/>
      <c r="BE86" s="273"/>
      <c r="BF86" s="273"/>
      <c r="BG86" s="273"/>
      <c r="BH86" s="273"/>
      <c r="BI86" s="247"/>
      <c r="BJ86" s="274"/>
      <c r="BK86" s="274"/>
      <c r="BL86" s="43"/>
      <c r="BM86" s="43"/>
      <c r="BN86" s="43"/>
      <c r="BO86" s="43"/>
      <c r="BP86" s="43"/>
      <c r="BQ86" s="43"/>
      <c r="BR86" s="43"/>
      <c r="BS86" s="43"/>
      <c r="BT86" s="43"/>
      <c r="BU86" s="19"/>
      <c r="BV86" s="16"/>
      <c r="BW86" s="16"/>
      <c r="BX86" s="16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72"/>
      <c r="DN86" s="69"/>
      <c r="DO86" s="69" t="str">
        <f>Sheet3!C78</f>
        <v>2cX400  </v>
      </c>
      <c r="DP86" s="69"/>
      <c r="DQ86" s="69"/>
      <c r="DR86" s="73">
        <v>6</v>
      </c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</row>
    <row r="87" spans="1:135" s="5" customFormat="1" ht="12.75" customHeight="1">
      <c r="A87" s="266"/>
      <c r="B87" s="267"/>
      <c r="C87" s="270"/>
      <c r="D87" s="270"/>
      <c r="E87" s="266"/>
      <c r="F87" s="266"/>
      <c r="G87" s="266"/>
      <c r="H87" s="266"/>
      <c r="I87" s="270"/>
      <c r="J87" s="266"/>
      <c r="K87" s="266"/>
      <c r="L87" s="266"/>
      <c r="M87" s="266"/>
      <c r="N87" s="247"/>
      <c r="O87" s="247"/>
      <c r="P87" s="247"/>
      <c r="Q87" s="247"/>
      <c r="R87" s="247"/>
      <c r="S87" s="247"/>
      <c r="T87" s="272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7"/>
      <c r="AF87" s="247"/>
      <c r="AG87" s="247"/>
      <c r="AH87" s="247"/>
      <c r="AI87" s="247"/>
      <c r="AJ87" s="247"/>
      <c r="AK87" s="247"/>
      <c r="AL87" s="247"/>
      <c r="AM87" s="247"/>
      <c r="AN87" s="247"/>
      <c r="AO87" s="247"/>
      <c r="AP87" s="247"/>
      <c r="AQ87" s="247"/>
      <c r="AR87" s="247"/>
      <c r="AS87" s="247"/>
      <c r="AT87" s="247"/>
      <c r="AU87" s="247"/>
      <c r="AV87" s="247"/>
      <c r="AW87" s="272"/>
      <c r="AX87" s="272"/>
      <c r="AY87" s="247"/>
      <c r="AZ87" s="273"/>
      <c r="BA87" s="273"/>
      <c r="BB87" s="273"/>
      <c r="BC87" s="273"/>
      <c r="BD87" s="273"/>
      <c r="BE87" s="273"/>
      <c r="BF87" s="273"/>
      <c r="BG87" s="273"/>
      <c r="BH87" s="273"/>
      <c r="BI87" s="247"/>
      <c r="BJ87" s="274"/>
      <c r="BK87" s="274"/>
      <c r="BL87" s="43"/>
      <c r="BM87" s="43"/>
      <c r="BN87" s="43"/>
      <c r="BO87" s="43"/>
      <c r="BP87" s="43"/>
      <c r="BQ87" s="43"/>
      <c r="BR87" s="43"/>
      <c r="BS87" s="43"/>
      <c r="BT87" s="43"/>
      <c r="BU87" s="19"/>
      <c r="BV87" s="16"/>
      <c r="BW87" s="16"/>
      <c r="BX87" s="16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72"/>
      <c r="DN87" s="69"/>
      <c r="DO87" s="69" t="str">
        <f>Sheet3!C79</f>
        <v>2cX500  </v>
      </c>
      <c r="DP87" s="69"/>
      <c r="DQ87" s="69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</row>
    <row r="88" spans="1:135" s="5" customFormat="1" ht="12.75" customHeight="1">
      <c r="A88" s="266"/>
      <c r="B88" s="267"/>
      <c r="C88" s="270"/>
      <c r="D88" s="270"/>
      <c r="E88" s="266"/>
      <c r="F88" s="266"/>
      <c r="G88" s="266"/>
      <c r="H88" s="266"/>
      <c r="I88" s="270"/>
      <c r="J88" s="266"/>
      <c r="K88" s="266"/>
      <c r="L88" s="266"/>
      <c r="M88" s="266"/>
      <c r="N88" s="247"/>
      <c r="O88" s="247"/>
      <c r="P88" s="247"/>
      <c r="Q88" s="247"/>
      <c r="R88" s="247"/>
      <c r="S88" s="247"/>
      <c r="T88" s="272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  <c r="AH88" s="247"/>
      <c r="AI88" s="247"/>
      <c r="AJ88" s="247"/>
      <c r="AK88" s="247"/>
      <c r="AL88" s="247"/>
      <c r="AM88" s="247"/>
      <c r="AN88" s="247"/>
      <c r="AO88" s="247"/>
      <c r="AP88" s="247"/>
      <c r="AQ88" s="247"/>
      <c r="AR88" s="247"/>
      <c r="AS88" s="247"/>
      <c r="AT88" s="247"/>
      <c r="AU88" s="247"/>
      <c r="AV88" s="247"/>
      <c r="AW88" s="272"/>
      <c r="AX88" s="272"/>
      <c r="AY88" s="247"/>
      <c r="AZ88" s="273"/>
      <c r="BA88" s="273"/>
      <c r="BB88" s="273"/>
      <c r="BC88" s="273"/>
      <c r="BD88" s="273"/>
      <c r="BE88" s="273"/>
      <c r="BF88" s="273"/>
      <c r="BG88" s="273"/>
      <c r="BH88" s="273"/>
      <c r="BI88" s="247"/>
      <c r="BJ88" s="274"/>
      <c r="BK88" s="274"/>
      <c r="BL88" s="43"/>
      <c r="BM88" s="43"/>
      <c r="BN88" s="43"/>
      <c r="BO88" s="43"/>
      <c r="BP88" s="43"/>
      <c r="BQ88" s="43"/>
      <c r="BR88" s="43"/>
      <c r="BS88" s="43"/>
      <c r="BT88" s="43"/>
      <c r="BU88" s="19"/>
      <c r="BV88" s="16"/>
      <c r="BW88" s="16"/>
      <c r="BX88" s="16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72"/>
      <c r="DN88" s="69"/>
      <c r="DO88" s="69" t="str">
        <f>Sheet3!C80</f>
        <v>2cX630  </v>
      </c>
      <c r="DP88" s="69"/>
      <c r="DQ88" s="69"/>
      <c r="DR88" s="74" t="s">
        <v>63</v>
      </c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</row>
    <row r="89" spans="1:135" s="5" customFormat="1" ht="12.75" customHeight="1">
      <c r="A89" s="266"/>
      <c r="B89" s="267"/>
      <c r="C89" s="6"/>
      <c r="D89" s="6"/>
      <c r="I89" s="6"/>
      <c r="K89" s="11"/>
      <c r="L89" s="11"/>
      <c r="M89" s="11"/>
      <c r="N89" s="40"/>
      <c r="O89" s="40"/>
      <c r="P89" s="40"/>
      <c r="Q89" s="40"/>
      <c r="R89" s="40"/>
      <c r="S89" s="40"/>
      <c r="T89" s="41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1"/>
      <c r="AX89" s="41"/>
      <c r="AY89" s="40"/>
      <c r="AZ89" s="42"/>
      <c r="BA89" s="42"/>
      <c r="BB89" s="42"/>
      <c r="BC89" s="42"/>
      <c r="BD89" s="42"/>
      <c r="BE89" s="42"/>
      <c r="BF89" s="42"/>
      <c r="BG89" s="42"/>
      <c r="BH89" s="42"/>
      <c r="BI89" s="40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19"/>
      <c r="BV89" s="16"/>
      <c r="BW89" s="16"/>
      <c r="BX89" s="16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72"/>
      <c r="DN89" s="69"/>
      <c r="DO89" s="69" t="str">
        <f>Sheet3!C81</f>
        <v>3cX1.5</v>
      </c>
      <c r="DP89" s="69"/>
      <c r="DQ89" s="69"/>
      <c r="DR89" s="74" t="s">
        <v>548</v>
      </c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</row>
    <row r="90" spans="1:135" s="5" customFormat="1" ht="12.75" customHeight="1">
      <c r="A90" s="266"/>
      <c r="B90" s="267"/>
      <c r="C90" s="6"/>
      <c r="D90" s="6"/>
      <c r="I90" s="6"/>
      <c r="K90" s="11"/>
      <c r="L90" s="11"/>
      <c r="M90" s="11"/>
      <c r="N90" s="40"/>
      <c r="O90" s="40"/>
      <c r="P90" s="40"/>
      <c r="Q90" s="40"/>
      <c r="R90" s="40"/>
      <c r="S90" s="40"/>
      <c r="T90" s="41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1"/>
      <c r="AX90" s="41"/>
      <c r="AY90" s="40"/>
      <c r="AZ90" s="42"/>
      <c r="BA90" s="42"/>
      <c r="BB90" s="42"/>
      <c r="BC90" s="42"/>
      <c r="BD90" s="42"/>
      <c r="BE90" s="42"/>
      <c r="BF90" s="42"/>
      <c r="BG90" s="42"/>
      <c r="BH90" s="42"/>
      <c r="BI90" s="40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19"/>
      <c r="BV90" s="16"/>
      <c r="BW90" s="16"/>
      <c r="BX90" s="16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72"/>
      <c r="DN90" s="69"/>
      <c r="DO90" s="69" t="str">
        <f>Sheet3!C82</f>
        <v>3cX2.5</v>
      </c>
      <c r="DP90" s="69"/>
      <c r="DQ90" s="69"/>
      <c r="DR90" s="74" t="s">
        <v>64</v>
      </c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</row>
    <row r="91" spans="1:135" s="5" customFormat="1" ht="12.75" customHeight="1">
      <c r="A91" s="266"/>
      <c r="B91" s="267"/>
      <c r="C91" s="6"/>
      <c r="D91" s="6"/>
      <c r="I91" s="6"/>
      <c r="K91" s="11"/>
      <c r="L91" s="11"/>
      <c r="M91" s="11"/>
      <c r="N91" s="40"/>
      <c r="O91" s="40"/>
      <c r="P91" s="40"/>
      <c r="Q91" s="40"/>
      <c r="R91" s="40"/>
      <c r="S91" s="40"/>
      <c r="T91" s="41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1"/>
      <c r="AX91" s="41"/>
      <c r="AY91" s="40"/>
      <c r="AZ91" s="42"/>
      <c r="BA91" s="42"/>
      <c r="BB91" s="42"/>
      <c r="BC91" s="42"/>
      <c r="BD91" s="42"/>
      <c r="BE91" s="42"/>
      <c r="BF91" s="42"/>
      <c r="BG91" s="42"/>
      <c r="BH91" s="42"/>
      <c r="BI91" s="40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19"/>
      <c r="BV91" s="16"/>
      <c r="BW91" s="16"/>
      <c r="BX91" s="16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72"/>
      <c r="DN91" s="69"/>
      <c r="DO91" s="69" t="str">
        <f>Sheet3!C83</f>
        <v>3cX4</v>
      </c>
      <c r="DP91" s="69"/>
      <c r="DQ91" s="69"/>
      <c r="DR91" s="74" t="s">
        <v>65</v>
      </c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</row>
    <row r="92" spans="1:135" s="5" customFormat="1" ht="12.75" customHeight="1">
      <c r="A92" s="266"/>
      <c r="B92" s="267"/>
      <c r="C92" s="6"/>
      <c r="D92" s="6"/>
      <c r="I92" s="6"/>
      <c r="K92" s="11"/>
      <c r="L92" s="11"/>
      <c r="M92" s="11"/>
      <c r="N92" s="40"/>
      <c r="O92" s="40"/>
      <c r="P92" s="40"/>
      <c r="Q92" s="40"/>
      <c r="R92" s="40"/>
      <c r="S92" s="40"/>
      <c r="T92" s="41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1"/>
      <c r="AX92" s="41"/>
      <c r="AY92" s="40"/>
      <c r="AZ92" s="42"/>
      <c r="BA92" s="42"/>
      <c r="BB92" s="42"/>
      <c r="BC92" s="42"/>
      <c r="BD92" s="42"/>
      <c r="BE92" s="42"/>
      <c r="BF92" s="42"/>
      <c r="BG92" s="42"/>
      <c r="BH92" s="42"/>
      <c r="BI92" s="40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19"/>
      <c r="BV92" s="16"/>
      <c r="BW92" s="16"/>
      <c r="BX92" s="16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72"/>
      <c r="DN92" s="69"/>
      <c r="DO92" s="69" t="str">
        <f>Sheet3!C84</f>
        <v>3cX 6  </v>
      </c>
      <c r="DP92" s="69"/>
      <c r="DQ92" s="69"/>
      <c r="DR92" s="74" t="s">
        <v>66</v>
      </c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</row>
    <row r="93" spans="1:135" s="5" customFormat="1" ht="12.75" customHeight="1">
      <c r="A93" s="266"/>
      <c r="B93" s="267"/>
      <c r="C93" s="6"/>
      <c r="D93" s="6"/>
      <c r="I93" s="6"/>
      <c r="K93" s="11"/>
      <c r="L93" s="11"/>
      <c r="M93" s="11"/>
      <c r="N93" s="40"/>
      <c r="O93" s="40"/>
      <c r="P93" s="40"/>
      <c r="Q93" s="40"/>
      <c r="R93" s="40"/>
      <c r="S93" s="40"/>
      <c r="T93" s="41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1"/>
      <c r="AX93" s="41"/>
      <c r="AY93" s="40"/>
      <c r="AZ93" s="42"/>
      <c r="BA93" s="42"/>
      <c r="BB93" s="42"/>
      <c r="BC93" s="42"/>
      <c r="BD93" s="42"/>
      <c r="BE93" s="42"/>
      <c r="BF93" s="42"/>
      <c r="BG93" s="42"/>
      <c r="BH93" s="42"/>
      <c r="BI93" s="40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19"/>
      <c r="BV93" s="16"/>
      <c r="BW93" s="16"/>
      <c r="BX93" s="16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72"/>
      <c r="DN93" s="69"/>
      <c r="DO93" s="69" t="str">
        <f>Sheet3!C85</f>
        <v>3cX 10  </v>
      </c>
      <c r="DP93" s="69"/>
      <c r="DQ93" s="69"/>
      <c r="DR93" s="69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</row>
    <row r="94" spans="1:135" s="5" customFormat="1" ht="12.75" customHeight="1">
      <c r="A94" s="266"/>
      <c r="B94" s="267"/>
      <c r="C94" s="6"/>
      <c r="D94" s="6"/>
      <c r="I94" s="6"/>
      <c r="K94" s="11"/>
      <c r="L94" s="11"/>
      <c r="M94" s="11"/>
      <c r="N94" s="40"/>
      <c r="O94" s="40"/>
      <c r="P94" s="40"/>
      <c r="Q94" s="40"/>
      <c r="R94" s="40"/>
      <c r="S94" s="40"/>
      <c r="T94" s="41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1"/>
      <c r="AX94" s="41"/>
      <c r="AY94" s="40"/>
      <c r="AZ94" s="42"/>
      <c r="BA94" s="42"/>
      <c r="BB94" s="42"/>
      <c r="BC94" s="42"/>
      <c r="BD94" s="42"/>
      <c r="BE94" s="42"/>
      <c r="BF94" s="42"/>
      <c r="BG94" s="42"/>
      <c r="BH94" s="42"/>
      <c r="BI94" s="40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19"/>
      <c r="BV94" s="16"/>
      <c r="BW94" s="16"/>
      <c r="BX94" s="16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72"/>
      <c r="DN94" s="69"/>
      <c r="DO94" s="69" t="str">
        <f>Sheet3!C86</f>
        <v>3cX 16  </v>
      </c>
      <c r="DP94" s="69"/>
      <c r="DQ94" s="69"/>
      <c r="DR94" s="69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</row>
    <row r="95" spans="1:135" s="5" customFormat="1" ht="12.75" customHeight="1">
      <c r="A95" s="266"/>
      <c r="B95" s="267"/>
      <c r="C95" s="6"/>
      <c r="D95" s="6"/>
      <c r="I95" s="6"/>
      <c r="K95" s="11"/>
      <c r="L95" s="11"/>
      <c r="M95" s="11"/>
      <c r="N95" s="40"/>
      <c r="O95" s="40"/>
      <c r="P95" s="40"/>
      <c r="Q95" s="40"/>
      <c r="R95" s="40"/>
      <c r="S95" s="40"/>
      <c r="T95" s="41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1"/>
      <c r="AX95" s="41"/>
      <c r="AY95" s="40"/>
      <c r="AZ95" s="42"/>
      <c r="BA95" s="42"/>
      <c r="BB95" s="42"/>
      <c r="BC95" s="42"/>
      <c r="BD95" s="42"/>
      <c r="BE95" s="42"/>
      <c r="BF95" s="42"/>
      <c r="BG95" s="42"/>
      <c r="BH95" s="42"/>
      <c r="BI95" s="40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19"/>
      <c r="BV95" s="16"/>
      <c r="BW95" s="16"/>
      <c r="BX95" s="16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72"/>
      <c r="DN95" s="69"/>
      <c r="DO95" s="69" t="str">
        <f>Sheet3!C87</f>
        <v>3cX 25  </v>
      </c>
      <c r="DP95" s="69"/>
      <c r="DQ95" s="69"/>
      <c r="DR95" s="69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</row>
    <row r="96" spans="1:135" s="5" customFormat="1" ht="12.75" customHeight="1">
      <c r="A96" s="266"/>
      <c r="B96" s="267"/>
      <c r="C96" s="6"/>
      <c r="D96" s="6"/>
      <c r="I96" s="6"/>
      <c r="K96" s="11"/>
      <c r="L96" s="11"/>
      <c r="M96" s="11"/>
      <c r="N96" s="40"/>
      <c r="O96" s="40"/>
      <c r="P96" s="40"/>
      <c r="Q96" s="40"/>
      <c r="R96" s="40"/>
      <c r="S96" s="40"/>
      <c r="T96" s="41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1"/>
      <c r="AX96" s="41"/>
      <c r="AY96" s="40"/>
      <c r="AZ96" s="42"/>
      <c r="BA96" s="42"/>
      <c r="BB96" s="42"/>
      <c r="BC96" s="42"/>
      <c r="BD96" s="42"/>
      <c r="BE96" s="42"/>
      <c r="BF96" s="42"/>
      <c r="BG96" s="42"/>
      <c r="BH96" s="42"/>
      <c r="BI96" s="40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19"/>
      <c r="BV96" s="16"/>
      <c r="BW96" s="16"/>
      <c r="BX96" s="16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72"/>
      <c r="DN96" s="69"/>
      <c r="DO96" s="69" t="str">
        <f>Sheet3!C88</f>
        <v>3cX 35  </v>
      </c>
      <c r="DP96" s="69"/>
      <c r="DQ96" s="69"/>
      <c r="DR96" s="69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</row>
    <row r="97" spans="1:135" s="5" customFormat="1" ht="12.75" customHeight="1">
      <c r="A97" s="11"/>
      <c r="B97" s="4"/>
      <c r="C97" s="6"/>
      <c r="D97" s="6"/>
      <c r="I97" s="6"/>
      <c r="K97" s="11"/>
      <c r="L97" s="11"/>
      <c r="M97" s="11"/>
      <c r="N97" s="40"/>
      <c r="O97" s="40"/>
      <c r="P97" s="40"/>
      <c r="Q97" s="40"/>
      <c r="R97" s="40"/>
      <c r="S97" s="40"/>
      <c r="T97" s="41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1"/>
      <c r="AX97" s="41"/>
      <c r="AY97" s="40"/>
      <c r="AZ97" s="42"/>
      <c r="BA97" s="42"/>
      <c r="BB97" s="42"/>
      <c r="BC97" s="42"/>
      <c r="BD97" s="42"/>
      <c r="BE97" s="42"/>
      <c r="BF97" s="42"/>
      <c r="BG97" s="42"/>
      <c r="BH97" s="42"/>
      <c r="BI97" s="40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19"/>
      <c r="BV97" s="16"/>
      <c r="BW97" s="16"/>
      <c r="BX97" s="16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72"/>
      <c r="DN97" s="69"/>
      <c r="DO97" s="69" t="str">
        <f>Sheet3!C89</f>
        <v>3cX 50  </v>
      </c>
      <c r="DP97" s="69"/>
      <c r="DQ97" s="69"/>
      <c r="DR97" s="69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</row>
    <row r="98" spans="1:135" s="5" customFormat="1" ht="12.75" customHeight="1">
      <c r="A98" s="11"/>
      <c r="B98" s="4"/>
      <c r="C98" s="6"/>
      <c r="D98" s="6"/>
      <c r="I98" s="6"/>
      <c r="K98" s="11"/>
      <c r="L98" s="11"/>
      <c r="M98" s="11"/>
      <c r="N98" s="40"/>
      <c r="O98" s="40"/>
      <c r="P98" s="40"/>
      <c r="Q98" s="40"/>
      <c r="R98" s="40"/>
      <c r="S98" s="40"/>
      <c r="T98" s="41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1"/>
      <c r="AX98" s="41"/>
      <c r="AY98" s="40"/>
      <c r="AZ98" s="42"/>
      <c r="BA98" s="42"/>
      <c r="BB98" s="42"/>
      <c r="BC98" s="42"/>
      <c r="BD98" s="42"/>
      <c r="BE98" s="42"/>
      <c r="BF98" s="42"/>
      <c r="BG98" s="42"/>
      <c r="BH98" s="42"/>
      <c r="BI98" s="40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19"/>
      <c r="BV98" s="16"/>
      <c r="BW98" s="16"/>
      <c r="BX98" s="16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72"/>
      <c r="DN98" s="69"/>
      <c r="DO98" s="69" t="str">
        <f>Sheet3!C90</f>
        <v>3cX 70  </v>
      </c>
      <c r="DP98" s="69"/>
      <c r="DQ98" s="69"/>
      <c r="DR98" s="69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</row>
    <row r="99" spans="1:135" s="5" customFormat="1" ht="12.75" customHeight="1">
      <c r="A99" s="11"/>
      <c r="B99" s="4"/>
      <c r="C99" s="6"/>
      <c r="D99" s="6"/>
      <c r="I99" s="6"/>
      <c r="K99" s="11"/>
      <c r="L99" s="11"/>
      <c r="M99" s="11"/>
      <c r="N99" s="40"/>
      <c r="O99" s="40"/>
      <c r="P99" s="40"/>
      <c r="Q99" s="40"/>
      <c r="R99" s="40"/>
      <c r="S99" s="40"/>
      <c r="T99" s="41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1"/>
      <c r="AX99" s="41"/>
      <c r="AY99" s="40"/>
      <c r="AZ99" s="42"/>
      <c r="BA99" s="42"/>
      <c r="BB99" s="42"/>
      <c r="BC99" s="42"/>
      <c r="BD99" s="42"/>
      <c r="BE99" s="42"/>
      <c r="BF99" s="42"/>
      <c r="BG99" s="42"/>
      <c r="BH99" s="42"/>
      <c r="BI99" s="40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19"/>
      <c r="BV99" s="16"/>
      <c r="BW99" s="16"/>
      <c r="BX99" s="16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72"/>
      <c r="DN99" s="69"/>
      <c r="DO99" s="69" t="str">
        <f>Sheet3!C91</f>
        <v>3cX 95  </v>
      </c>
      <c r="DP99" s="69"/>
      <c r="DQ99" s="69"/>
      <c r="DR99" s="69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</row>
    <row r="100" spans="1:135" s="5" customFormat="1" ht="12.75" customHeight="1">
      <c r="A100" s="11"/>
      <c r="B100" s="4"/>
      <c r="C100" s="6"/>
      <c r="D100" s="6"/>
      <c r="I100" s="6"/>
      <c r="K100" s="11"/>
      <c r="L100" s="11"/>
      <c r="M100" s="11"/>
      <c r="N100" s="40"/>
      <c r="O100" s="40"/>
      <c r="P100" s="40"/>
      <c r="Q100" s="40"/>
      <c r="R100" s="40"/>
      <c r="S100" s="40"/>
      <c r="T100" s="41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1"/>
      <c r="AX100" s="41"/>
      <c r="AY100" s="40"/>
      <c r="AZ100" s="42"/>
      <c r="BA100" s="42"/>
      <c r="BB100" s="42"/>
      <c r="BC100" s="42"/>
      <c r="BD100" s="42"/>
      <c r="BE100" s="42"/>
      <c r="BF100" s="42"/>
      <c r="BG100" s="42"/>
      <c r="BH100" s="42"/>
      <c r="BI100" s="40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19"/>
      <c r="BV100" s="16"/>
      <c r="BW100" s="16"/>
      <c r="BX100" s="16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72"/>
      <c r="DN100" s="69"/>
      <c r="DO100" s="69" t="str">
        <f>Sheet3!C92</f>
        <v>3cX 120  </v>
      </c>
      <c r="DP100" s="69"/>
      <c r="DQ100" s="69"/>
      <c r="DR100" s="69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</row>
    <row r="101" spans="1:135" s="5" customFormat="1" ht="12.75" customHeight="1">
      <c r="A101" s="11"/>
      <c r="B101" s="4"/>
      <c r="C101" s="6"/>
      <c r="D101" s="6"/>
      <c r="I101" s="6"/>
      <c r="K101" s="11"/>
      <c r="L101" s="11"/>
      <c r="M101" s="11"/>
      <c r="N101" s="40"/>
      <c r="O101" s="40"/>
      <c r="P101" s="40"/>
      <c r="Q101" s="40"/>
      <c r="R101" s="40"/>
      <c r="S101" s="40"/>
      <c r="T101" s="41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1"/>
      <c r="AX101" s="41"/>
      <c r="AY101" s="40"/>
      <c r="AZ101" s="42"/>
      <c r="BA101" s="42"/>
      <c r="BB101" s="42"/>
      <c r="BC101" s="42"/>
      <c r="BD101" s="42"/>
      <c r="BE101" s="42"/>
      <c r="BF101" s="42"/>
      <c r="BG101" s="42"/>
      <c r="BH101" s="42"/>
      <c r="BI101" s="40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19"/>
      <c r="BV101" s="16"/>
      <c r="BW101" s="16"/>
      <c r="BX101" s="16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72"/>
      <c r="DN101" s="69"/>
      <c r="DO101" s="69" t="str">
        <f>Sheet3!C93</f>
        <v>3cX 150  </v>
      </c>
      <c r="DP101" s="69"/>
      <c r="DQ101" s="69"/>
      <c r="DR101" s="69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</row>
    <row r="102" spans="1:135" s="5" customFormat="1" ht="12.75" customHeight="1">
      <c r="A102" s="11"/>
      <c r="B102" s="4"/>
      <c r="C102" s="6"/>
      <c r="D102" s="6"/>
      <c r="I102" s="6"/>
      <c r="K102" s="11"/>
      <c r="L102" s="11"/>
      <c r="M102" s="11"/>
      <c r="N102" s="40"/>
      <c r="O102" s="40"/>
      <c r="P102" s="40"/>
      <c r="Q102" s="40"/>
      <c r="R102" s="40"/>
      <c r="S102" s="40"/>
      <c r="T102" s="41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1"/>
      <c r="AX102" s="41"/>
      <c r="AY102" s="40"/>
      <c r="AZ102" s="42"/>
      <c r="BA102" s="42"/>
      <c r="BB102" s="42"/>
      <c r="BC102" s="42"/>
      <c r="BD102" s="42"/>
      <c r="BE102" s="42"/>
      <c r="BF102" s="42"/>
      <c r="BG102" s="42"/>
      <c r="BH102" s="42"/>
      <c r="BI102" s="40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19"/>
      <c r="BV102" s="16"/>
      <c r="BW102" s="16"/>
      <c r="BX102" s="16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72"/>
      <c r="DN102" s="69"/>
      <c r="DO102" s="69" t="str">
        <f>Sheet3!C94</f>
        <v>3cX 185  </v>
      </c>
      <c r="DP102" s="69"/>
      <c r="DQ102" s="69"/>
      <c r="DR102" s="69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</row>
    <row r="103" spans="1:135" s="5" customFormat="1" ht="12.75" customHeight="1">
      <c r="A103" s="11"/>
      <c r="B103" s="4"/>
      <c r="C103" s="6"/>
      <c r="D103" s="6"/>
      <c r="I103" s="6"/>
      <c r="K103" s="11"/>
      <c r="L103" s="11"/>
      <c r="M103" s="11"/>
      <c r="N103" s="40"/>
      <c r="O103" s="40"/>
      <c r="P103" s="40"/>
      <c r="Q103" s="40"/>
      <c r="R103" s="40"/>
      <c r="S103" s="40"/>
      <c r="T103" s="41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1"/>
      <c r="AX103" s="41"/>
      <c r="AY103" s="40"/>
      <c r="AZ103" s="42"/>
      <c r="BA103" s="42"/>
      <c r="BB103" s="42"/>
      <c r="BC103" s="42"/>
      <c r="BD103" s="42"/>
      <c r="BE103" s="42"/>
      <c r="BF103" s="42"/>
      <c r="BG103" s="42"/>
      <c r="BH103" s="42"/>
      <c r="BI103" s="40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19"/>
      <c r="BV103" s="16"/>
      <c r="BW103" s="16"/>
      <c r="BX103" s="16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72"/>
      <c r="DN103" s="69"/>
      <c r="DO103" s="69" t="str">
        <f>Sheet3!C95</f>
        <v>3cX 240  </v>
      </c>
      <c r="DP103" s="69"/>
      <c r="DQ103" s="69"/>
      <c r="DR103" s="69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</row>
    <row r="104" spans="1:135" s="5" customFormat="1" ht="12.75" customHeight="1">
      <c r="A104" s="11"/>
      <c r="B104" s="4"/>
      <c r="C104" s="6"/>
      <c r="D104" s="6"/>
      <c r="I104" s="6"/>
      <c r="K104" s="11"/>
      <c r="L104" s="11"/>
      <c r="M104" s="11"/>
      <c r="N104" s="40"/>
      <c r="O104" s="40"/>
      <c r="P104" s="40"/>
      <c r="Q104" s="40"/>
      <c r="R104" s="40"/>
      <c r="S104" s="40"/>
      <c r="T104" s="41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1"/>
      <c r="AX104" s="41"/>
      <c r="AY104" s="40"/>
      <c r="AZ104" s="42"/>
      <c r="BA104" s="42"/>
      <c r="BB104" s="42"/>
      <c r="BC104" s="42"/>
      <c r="BD104" s="42"/>
      <c r="BE104" s="42"/>
      <c r="BF104" s="42"/>
      <c r="BG104" s="42"/>
      <c r="BH104" s="42"/>
      <c r="BI104" s="40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19"/>
      <c r="BV104" s="16"/>
      <c r="BW104" s="16"/>
      <c r="BX104" s="16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72"/>
      <c r="DN104" s="69"/>
      <c r="DO104" s="69" t="str">
        <f>Sheet3!C96</f>
        <v>3cX 300  </v>
      </c>
      <c r="DP104" s="69"/>
      <c r="DQ104" s="69"/>
      <c r="DR104" s="69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</row>
    <row r="105" spans="1:135" s="5" customFormat="1" ht="12.75" customHeight="1">
      <c r="A105" s="11"/>
      <c r="B105" s="4"/>
      <c r="C105" s="6"/>
      <c r="D105" s="6"/>
      <c r="I105" s="6"/>
      <c r="K105" s="11"/>
      <c r="L105" s="11"/>
      <c r="M105" s="11"/>
      <c r="N105" s="40"/>
      <c r="O105" s="40"/>
      <c r="P105" s="40"/>
      <c r="Q105" s="40"/>
      <c r="R105" s="40"/>
      <c r="S105" s="40"/>
      <c r="T105" s="41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1"/>
      <c r="AX105" s="41"/>
      <c r="AY105" s="40"/>
      <c r="AZ105" s="42"/>
      <c r="BA105" s="42"/>
      <c r="BB105" s="42"/>
      <c r="BC105" s="42"/>
      <c r="BD105" s="42"/>
      <c r="BE105" s="42"/>
      <c r="BF105" s="42"/>
      <c r="BG105" s="42"/>
      <c r="BH105" s="42"/>
      <c r="BI105" s="40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19"/>
      <c r="BV105" s="16"/>
      <c r="BW105" s="16"/>
      <c r="BX105" s="16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72"/>
      <c r="DN105" s="69"/>
      <c r="DO105" s="69" t="str">
        <f>Sheet3!C97</f>
        <v>3cX 400  </v>
      </c>
      <c r="DP105" s="69"/>
      <c r="DQ105" s="69"/>
      <c r="DR105" s="69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</row>
    <row r="106" spans="1:135" s="5" customFormat="1" ht="12.75" customHeight="1">
      <c r="A106" s="11"/>
      <c r="B106" s="4"/>
      <c r="C106" s="6"/>
      <c r="D106" s="6"/>
      <c r="I106" s="6"/>
      <c r="K106" s="11"/>
      <c r="L106" s="11"/>
      <c r="M106" s="11"/>
      <c r="N106" s="40"/>
      <c r="O106" s="40"/>
      <c r="P106" s="40"/>
      <c r="Q106" s="40"/>
      <c r="R106" s="40"/>
      <c r="S106" s="40"/>
      <c r="T106" s="41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1"/>
      <c r="AX106" s="41"/>
      <c r="AY106" s="40"/>
      <c r="AZ106" s="42"/>
      <c r="BA106" s="42"/>
      <c r="BB106" s="42"/>
      <c r="BC106" s="42"/>
      <c r="BD106" s="42"/>
      <c r="BE106" s="42"/>
      <c r="BF106" s="42"/>
      <c r="BG106" s="42"/>
      <c r="BH106" s="42"/>
      <c r="BI106" s="40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19"/>
      <c r="BV106" s="16"/>
      <c r="BW106" s="16"/>
      <c r="BX106" s="16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72"/>
      <c r="DN106" s="69"/>
      <c r="DO106" s="69" t="str">
        <f>Sheet3!C98</f>
        <v>3cX 500  </v>
      </c>
      <c r="DP106" s="69"/>
      <c r="DQ106" s="69"/>
      <c r="DR106" s="69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/>
    </row>
    <row r="107" spans="1:135" s="5" customFormat="1" ht="12.75" customHeight="1">
      <c r="A107" s="11"/>
      <c r="B107" s="4"/>
      <c r="C107" s="6"/>
      <c r="D107" s="6"/>
      <c r="I107" s="6"/>
      <c r="K107" s="11"/>
      <c r="L107" s="11"/>
      <c r="M107" s="11"/>
      <c r="N107" s="40"/>
      <c r="O107" s="40"/>
      <c r="P107" s="40"/>
      <c r="Q107" s="40"/>
      <c r="R107" s="40"/>
      <c r="S107" s="40"/>
      <c r="T107" s="41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1"/>
      <c r="AX107" s="41"/>
      <c r="AY107" s="40"/>
      <c r="AZ107" s="42"/>
      <c r="BA107" s="42"/>
      <c r="BB107" s="42"/>
      <c r="BC107" s="42"/>
      <c r="BD107" s="42"/>
      <c r="BE107" s="42"/>
      <c r="BF107" s="42"/>
      <c r="BG107" s="42"/>
      <c r="BH107" s="42"/>
      <c r="BI107" s="40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19"/>
      <c r="BV107" s="16"/>
      <c r="BW107" s="16"/>
      <c r="BX107" s="16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72"/>
      <c r="DN107" s="69"/>
      <c r="DO107" s="69" t="str">
        <f>Sheet3!C99</f>
        <v>3cX 630  </v>
      </c>
      <c r="DP107" s="69"/>
      <c r="DQ107" s="69"/>
      <c r="DR107" s="69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</row>
    <row r="108" spans="1:135" s="5" customFormat="1" ht="12.75" customHeight="1">
      <c r="A108" s="11"/>
      <c r="B108" s="4"/>
      <c r="C108" s="6"/>
      <c r="D108" s="6"/>
      <c r="I108" s="6"/>
      <c r="K108" s="11"/>
      <c r="L108" s="11"/>
      <c r="M108" s="11"/>
      <c r="N108" s="40"/>
      <c r="O108" s="40"/>
      <c r="P108" s="40"/>
      <c r="Q108" s="40"/>
      <c r="R108" s="40"/>
      <c r="S108" s="40"/>
      <c r="T108" s="41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1"/>
      <c r="AX108" s="41"/>
      <c r="AY108" s="40"/>
      <c r="AZ108" s="42"/>
      <c r="BA108" s="42"/>
      <c r="BB108" s="42"/>
      <c r="BC108" s="42"/>
      <c r="BD108" s="42"/>
      <c r="BE108" s="42"/>
      <c r="BF108" s="42"/>
      <c r="BG108" s="42"/>
      <c r="BH108" s="42"/>
      <c r="BI108" s="40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19"/>
      <c r="BV108" s="16"/>
      <c r="BW108" s="16"/>
      <c r="BX108" s="16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72"/>
      <c r="DN108" s="69"/>
      <c r="DO108" s="69" t="str">
        <f>Sheet3!C100</f>
        <v> 3.5X16</v>
      </c>
      <c r="DP108" s="69"/>
      <c r="DQ108" s="69"/>
      <c r="DR108" s="69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</row>
    <row r="109" spans="1:135" s="5" customFormat="1" ht="12.75" customHeight="1">
      <c r="A109" s="11"/>
      <c r="B109" s="4"/>
      <c r="C109" s="6"/>
      <c r="D109" s="6"/>
      <c r="I109" s="6"/>
      <c r="K109" s="11"/>
      <c r="L109" s="11"/>
      <c r="M109" s="11"/>
      <c r="N109" s="40"/>
      <c r="O109" s="40"/>
      <c r="P109" s="40"/>
      <c r="Q109" s="40"/>
      <c r="R109" s="40"/>
      <c r="S109" s="40"/>
      <c r="T109" s="41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1"/>
      <c r="AX109" s="41"/>
      <c r="AY109" s="40"/>
      <c r="AZ109" s="42"/>
      <c r="BA109" s="42"/>
      <c r="BB109" s="42"/>
      <c r="BC109" s="42"/>
      <c r="BD109" s="42"/>
      <c r="BE109" s="42"/>
      <c r="BF109" s="42"/>
      <c r="BG109" s="42"/>
      <c r="BH109" s="42"/>
      <c r="BI109" s="40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19"/>
      <c r="BV109" s="16"/>
      <c r="BW109" s="16"/>
      <c r="BX109" s="16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72"/>
      <c r="DN109" s="69"/>
      <c r="DO109" s="69" t="str">
        <f>Sheet3!C101</f>
        <v> 3.5X25</v>
      </c>
      <c r="DP109" s="69"/>
      <c r="DQ109" s="69"/>
      <c r="DR109" s="69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</row>
    <row r="110" spans="1:135" s="5" customFormat="1" ht="12.75" customHeight="1">
      <c r="A110" s="11"/>
      <c r="B110" s="4"/>
      <c r="C110" s="6"/>
      <c r="D110" s="6"/>
      <c r="I110" s="6"/>
      <c r="K110" s="11"/>
      <c r="L110" s="11"/>
      <c r="M110" s="11"/>
      <c r="N110" s="40"/>
      <c r="O110" s="40"/>
      <c r="P110" s="40"/>
      <c r="Q110" s="40"/>
      <c r="R110" s="40"/>
      <c r="S110" s="40"/>
      <c r="T110" s="41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1"/>
      <c r="AX110" s="41"/>
      <c r="AY110" s="40"/>
      <c r="AZ110" s="42"/>
      <c r="BA110" s="42"/>
      <c r="BB110" s="42"/>
      <c r="BC110" s="42"/>
      <c r="BD110" s="42"/>
      <c r="BE110" s="42"/>
      <c r="BF110" s="42"/>
      <c r="BG110" s="42"/>
      <c r="BH110" s="42"/>
      <c r="BI110" s="40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19"/>
      <c r="BV110" s="16"/>
      <c r="BW110" s="16"/>
      <c r="BX110" s="16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72"/>
      <c r="DN110" s="69"/>
      <c r="DO110" s="69" t="str">
        <f>Sheet3!C102</f>
        <v> 3.5X35</v>
      </c>
      <c r="DP110" s="69"/>
      <c r="DQ110" s="69"/>
      <c r="DR110" s="69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</row>
    <row r="111" spans="1:135" s="5" customFormat="1" ht="12.75" customHeight="1">
      <c r="A111" s="11"/>
      <c r="B111" s="4"/>
      <c r="C111" s="6"/>
      <c r="D111" s="6"/>
      <c r="I111" s="6"/>
      <c r="K111" s="11"/>
      <c r="L111" s="11"/>
      <c r="M111" s="11"/>
      <c r="N111" s="40"/>
      <c r="O111" s="40"/>
      <c r="P111" s="40"/>
      <c r="Q111" s="40"/>
      <c r="R111" s="40"/>
      <c r="S111" s="40"/>
      <c r="T111" s="41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1"/>
      <c r="AX111" s="41"/>
      <c r="AY111" s="40"/>
      <c r="AZ111" s="42"/>
      <c r="BA111" s="42"/>
      <c r="BB111" s="42"/>
      <c r="BC111" s="42"/>
      <c r="BD111" s="42"/>
      <c r="BE111" s="42"/>
      <c r="BF111" s="42"/>
      <c r="BG111" s="42"/>
      <c r="BH111" s="42"/>
      <c r="BI111" s="40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19"/>
      <c r="BV111" s="16"/>
      <c r="BW111" s="16"/>
      <c r="BX111" s="16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72"/>
      <c r="DN111" s="69"/>
      <c r="DO111" s="69" t="str">
        <f>Sheet3!C103</f>
        <v> 3.5X50</v>
      </c>
      <c r="DP111" s="69"/>
      <c r="DQ111" s="69"/>
      <c r="DR111" s="69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</row>
    <row r="112" spans="1:135" s="5" customFormat="1" ht="12.75" customHeight="1">
      <c r="A112" s="11"/>
      <c r="B112" s="4"/>
      <c r="C112" s="6"/>
      <c r="D112" s="6"/>
      <c r="I112" s="6"/>
      <c r="K112" s="11"/>
      <c r="L112" s="11"/>
      <c r="M112" s="11"/>
      <c r="N112" s="40"/>
      <c r="O112" s="40"/>
      <c r="P112" s="40"/>
      <c r="Q112" s="40"/>
      <c r="R112" s="40"/>
      <c r="S112" s="40"/>
      <c r="T112" s="41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1"/>
      <c r="AX112" s="41"/>
      <c r="AY112" s="40"/>
      <c r="AZ112" s="42"/>
      <c r="BA112" s="42"/>
      <c r="BB112" s="42"/>
      <c r="BC112" s="42"/>
      <c r="BD112" s="42"/>
      <c r="BE112" s="42"/>
      <c r="BF112" s="42"/>
      <c r="BG112" s="42"/>
      <c r="BH112" s="42"/>
      <c r="BI112" s="40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19"/>
      <c r="BV112" s="16"/>
      <c r="BW112" s="16"/>
      <c r="BX112" s="16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72"/>
      <c r="DN112" s="69"/>
      <c r="DO112" s="69" t="str">
        <f>Sheet3!C104</f>
        <v> 3.5X70</v>
      </c>
      <c r="DP112" s="69"/>
      <c r="DQ112" s="69"/>
      <c r="DR112" s="69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</row>
    <row r="113" spans="1:135" s="5" customFormat="1" ht="12.75" customHeight="1">
      <c r="A113" s="11"/>
      <c r="B113" s="4"/>
      <c r="C113" s="6"/>
      <c r="D113" s="6"/>
      <c r="I113" s="6"/>
      <c r="K113" s="11"/>
      <c r="L113" s="11"/>
      <c r="M113" s="11"/>
      <c r="N113" s="40"/>
      <c r="O113" s="40"/>
      <c r="P113" s="40"/>
      <c r="Q113" s="40"/>
      <c r="R113" s="40"/>
      <c r="S113" s="40"/>
      <c r="T113" s="41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1"/>
      <c r="AX113" s="41"/>
      <c r="AY113" s="40"/>
      <c r="AZ113" s="42"/>
      <c r="BA113" s="42"/>
      <c r="BB113" s="42"/>
      <c r="BC113" s="42"/>
      <c r="BD113" s="42"/>
      <c r="BE113" s="42"/>
      <c r="BF113" s="42"/>
      <c r="BG113" s="42"/>
      <c r="BH113" s="42"/>
      <c r="BI113" s="40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19"/>
      <c r="BV113" s="16"/>
      <c r="BW113" s="16"/>
      <c r="BX113" s="16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72"/>
      <c r="DN113" s="69"/>
      <c r="DO113" s="69" t="str">
        <f>Sheet3!C105</f>
        <v> 3.5X95</v>
      </c>
      <c r="DP113" s="69"/>
      <c r="DQ113" s="69"/>
      <c r="DR113" s="69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</row>
    <row r="114" spans="1:135" s="5" customFormat="1" ht="12.75" customHeight="1">
      <c r="A114" s="11"/>
      <c r="B114" s="4"/>
      <c r="C114" s="6"/>
      <c r="D114" s="6"/>
      <c r="I114" s="6"/>
      <c r="K114" s="11"/>
      <c r="L114" s="11"/>
      <c r="M114" s="11"/>
      <c r="N114" s="40"/>
      <c r="O114" s="40"/>
      <c r="P114" s="40"/>
      <c r="Q114" s="40"/>
      <c r="R114" s="40"/>
      <c r="S114" s="40"/>
      <c r="T114" s="41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1"/>
      <c r="AX114" s="41"/>
      <c r="AY114" s="40"/>
      <c r="AZ114" s="42"/>
      <c r="BA114" s="42"/>
      <c r="BB114" s="42"/>
      <c r="BC114" s="42"/>
      <c r="BD114" s="42"/>
      <c r="BE114" s="42"/>
      <c r="BF114" s="42"/>
      <c r="BG114" s="42"/>
      <c r="BH114" s="42"/>
      <c r="BI114" s="40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19"/>
      <c r="BV114" s="16"/>
      <c r="BW114" s="16"/>
      <c r="BX114" s="16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72"/>
      <c r="DN114" s="69"/>
      <c r="DO114" s="69" t="str">
        <f>Sheet3!C106</f>
        <v> 3.5X120</v>
      </c>
      <c r="DP114" s="69"/>
      <c r="DQ114" s="69"/>
      <c r="DR114" s="69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</row>
    <row r="115" spans="1:135" s="5" customFormat="1" ht="12.75" customHeight="1">
      <c r="A115" s="11"/>
      <c r="B115" s="4"/>
      <c r="C115" s="6"/>
      <c r="D115" s="6"/>
      <c r="I115" s="6"/>
      <c r="K115" s="11"/>
      <c r="L115" s="11"/>
      <c r="M115" s="11"/>
      <c r="N115" s="40"/>
      <c r="O115" s="40"/>
      <c r="P115" s="40"/>
      <c r="Q115" s="40"/>
      <c r="R115" s="40"/>
      <c r="S115" s="40"/>
      <c r="T115" s="41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1"/>
      <c r="AX115" s="41"/>
      <c r="AY115" s="40"/>
      <c r="AZ115" s="42"/>
      <c r="BA115" s="42"/>
      <c r="BB115" s="42"/>
      <c r="BC115" s="42"/>
      <c r="BD115" s="42"/>
      <c r="BE115" s="42"/>
      <c r="BF115" s="42"/>
      <c r="BG115" s="42"/>
      <c r="BH115" s="42"/>
      <c r="BI115" s="40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19"/>
      <c r="BV115" s="16"/>
      <c r="BW115" s="16"/>
      <c r="BX115" s="16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72"/>
      <c r="DN115" s="69"/>
      <c r="DO115" s="69" t="str">
        <f>Sheet3!C107</f>
        <v> 3.5X150</v>
      </c>
      <c r="DP115" s="69"/>
      <c r="DQ115" s="69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/>
    </row>
    <row r="116" spans="1:135" s="5" customFormat="1" ht="12.75" customHeight="1">
      <c r="A116" s="11"/>
      <c r="B116" s="4"/>
      <c r="C116" s="6"/>
      <c r="D116" s="6"/>
      <c r="I116" s="6"/>
      <c r="K116" s="11"/>
      <c r="L116" s="11"/>
      <c r="M116" s="11"/>
      <c r="N116" s="40"/>
      <c r="O116" s="40"/>
      <c r="P116" s="40"/>
      <c r="Q116" s="40"/>
      <c r="R116" s="40"/>
      <c r="S116" s="40"/>
      <c r="T116" s="41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1"/>
      <c r="AX116" s="41"/>
      <c r="AY116" s="40"/>
      <c r="AZ116" s="42"/>
      <c r="BA116" s="42"/>
      <c r="BB116" s="42"/>
      <c r="BC116" s="42"/>
      <c r="BD116" s="42"/>
      <c r="BE116" s="42"/>
      <c r="BF116" s="42"/>
      <c r="BG116" s="42"/>
      <c r="BH116" s="42"/>
      <c r="BI116" s="40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19"/>
      <c r="BV116" s="16"/>
      <c r="BW116" s="16"/>
      <c r="BX116" s="16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72"/>
      <c r="DN116" s="69"/>
      <c r="DO116" s="69" t="str">
        <f>Sheet3!C108</f>
        <v> 3.5X185</v>
      </c>
      <c r="DP116" s="69"/>
      <c r="DQ116" s="69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/>
    </row>
    <row r="117" spans="1:135" s="5" customFormat="1" ht="12.75" customHeight="1">
      <c r="A117" s="11"/>
      <c r="B117" s="4"/>
      <c r="C117" s="6"/>
      <c r="D117" s="6"/>
      <c r="I117" s="6"/>
      <c r="K117" s="11"/>
      <c r="L117" s="11"/>
      <c r="M117" s="11"/>
      <c r="N117" s="40"/>
      <c r="O117" s="40"/>
      <c r="P117" s="40"/>
      <c r="Q117" s="40"/>
      <c r="R117" s="40"/>
      <c r="S117" s="40"/>
      <c r="T117" s="41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1"/>
      <c r="AX117" s="41"/>
      <c r="AY117" s="40"/>
      <c r="AZ117" s="42"/>
      <c r="BA117" s="42"/>
      <c r="BB117" s="42"/>
      <c r="BC117" s="42"/>
      <c r="BD117" s="42"/>
      <c r="BE117" s="42"/>
      <c r="BF117" s="42"/>
      <c r="BG117" s="42"/>
      <c r="BH117" s="42"/>
      <c r="BI117" s="40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19"/>
      <c r="BV117" s="16"/>
      <c r="BW117" s="16"/>
      <c r="BX117" s="16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72"/>
      <c r="DN117" s="69"/>
      <c r="DO117" s="69" t="str">
        <f>Sheet3!C109</f>
        <v> 3.5X240</v>
      </c>
      <c r="DP117" s="69"/>
      <c r="DQ117" s="69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</row>
    <row r="118" spans="1:135" s="5" customFormat="1" ht="12.75" customHeight="1">
      <c r="A118" s="11"/>
      <c r="B118" s="4"/>
      <c r="C118" s="6"/>
      <c r="D118" s="6"/>
      <c r="I118" s="6"/>
      <c r="K118" s="11"/>
      <c r="L118" s="11"/>
      <c r="M118" s="11"/>
      <c r="N118" s="40"/>
      <c r="O118" s="40"/>
      <c r="P118" s="40"/>
      <c r="Q118" s="40"/>
      <c r="R118" s="40"/>
      <c r="S118" s="40"/>
      <c r="T118" s="41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1"/>
      <c r="AX118" s="41"/>
      <c r="AY118" s="40"/>
      <c r="AZ118" s="42"/>
      <c r="BA118" s="42"/>
      <c r="BB118" s="42"/>
      <c r="BC118" s="42"/>
      <c r="BD118" s="42"/>
      <c r="BE118" s="42"/>
      <c r="BF118" s="42"/>
      <c r="BG118" s="42"/>
      <c r="BH118" s="42"/>
      <c r="BI118" s="40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19"/>
      <c r="BV118" s="16"/>
      <c r="BW118" s="16"/>
      <c r="BX118" s="16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72"/>
      <c r="DN118" s="69"/>
      <c r="DO118" s="69" t="str">
        <f>Sheet3!C110</f>
        <v> 3.5X300</v>
      </c>
      <c r="DP118" s="69"/>
      <c r="DQ118" s="69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</row>
    <row r="119" spans="1:135" s="5" customFormat="1" ht="12.75" customHeight="1">
      <c r="A119" s="11"/>
      <c r="B119" s="4"/>
      <c r="C119" s="6"/>
      <c r="D119" s="6"/>
      <c r="I119" s="6"/>
      <c r="K119" s="11"/>
      <c r="L119" s="11"/>
      <c r="M119" s="11"/>
      <c r="N119" s="40"/>
      <c r="O119" s="40"/>
      <c r="P119" s="40"/>
      <c r="Q119" s="40"/>
      <c r="R119" s="40"/>
      <c r="S119" s="40"/>
      <c r="T119" s="41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1"/>
      <c r="AX119" s="41"/>
      <c r="AY119" s="40"/>
      <c r="AZ119" s="42"/>
      <c r="BA119" s="42"/>
      <c r="BB119" s="42"/>
      <c r="BC119" s="42"/>
      <c r="BD119" s="42"/>
      <c r="BE119" s="42"/>
      <c r="BF119" s="42"/>
      <c r="BG119" s="42"/>
      <c r="BH119" s="42"/>
      <c r="BI119" s="40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19"/>
      <c r="BV119" s="16"/>
      <c r="BW119" s="16"/>
      <c r="BX119" s="16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72"/>
      <c r="DN119" s="69"/>
      <c r="DO119" s="69" t="str">
        <f>Sheet3!C111</f>
        <v> 3.5X400</v>
      </c>
      <c r="DP119" s="69"/>
      <c r="DQ119" s="69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</row>
    <row r="120" spans="1:135" s="5" customFormat="1" ht="12.75" customHeight="1">
      <c r="A120" s="11"/>
      <c r="B120" s="4"/>
      <c r="C120" s="6"/>
      <c r="D120" s="6"/>
      <c r="I120" s="6"/>
      <c r="K120" s="11"/>
      <c r="L120" s="11"/>
      <c r="M120" s="11"/>
      <c r="N120" s="40"/>
      <c r="O120" s="40"/>
      <c r="P120" s="40"/>
      <c r="Q120" s="40"/>
      <c r="R120" s="40"/>
      <c r="S120" s="40"/>
      <c r="T120" s="41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1"/>
      <c r="AX120" s="41"/>
      <c r="AY120" s="40"/>
      <c r="AZ120" s="42"/>
      <c r="BA120" s="42"/>
      <c r="BB120" s="42"/>
      <c r="BC120" s="42"/>
      <c r="BD120" s="42"/>
      <c r="BE120" s="42"/>
      <c r="BF120" s="42"/>
      <c r="BG120" s="42"/>
      <c r="BH120" s="42"/>
      <c r="BI120" s="40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19"/>
      <c r="BV120" s="16"/>
      <c r="BW120" s="16"/>
      <c r="BX120" s="16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72"/>
      <c r="DN120" s="69"/>
      <c r="DO120" s="69" t="str">
        <f>Sheet3!C112</f>
        <v> 3.5X500</v>
      </c>
      <c r="DP120" s="69"/>
      <c r="DQ120" s="69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</row>
    <row r="121" spans="1:135" s="5" customFormat="1" ht="12.75" customHeight="1">
      <c r="A121" s="11"/>
      <c r="B121" s="4"/>
      <c r="C121" s="6"/>
      <c r="D121" s="6"/>
      <c r="I121" s="6"/>
      <c r="K121" s="11"/>
      <c r="L121" s="11"/>
      <c r="M121" s="11"/>
      <c r="N121" s="40"/>
      <c r="O121" s="40"/>
      <c r="P121" s="40"/>
      <c r="Q121" s="40"/>
      <c r="R121" s="40"/>
      <c r="S121" s="40"/>
      <c r="T121" s="41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1"/>
      <c r="AX121" s="41"/>
      <c r="AY121" s="40"/>
      <c r="AZ121" s="42"/>
      <c r="BA121" s="42"/>
      <c r="BB121" s="42"/>
      <c r="BC121" s="42"/>
      <c r="BD121" s="42"/>
      <c r="BE121" s="42"/>
      <c r="BF121" s="42"/>
      <c r="BG121" s="42"/>
      <c r="BH121" s="42"/>
      <c r="BI121" s="40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19"/>
      <c r="BV121" s="16"/>
      <c r="BW121" s="16"/>
      <c r="BX121" s="16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72"/>
      <c r="DN121" s="69"/>
      <c r="DO121" s="69" t="str">
        <f>Sheet3!C113</f>
        <v> 3.5X630</v>
      </c>
      <c r="DP121" s="69"/>
      <c r="DQ121" s="69"/>
      <c r="DR121" s="72"/>
      <c r="DS121" s="72"/>
      <c r="DT121" s="72"/>
      <c r="DU121" s="72"/>
      <c r="DV121" s="72"/>
      <c r="DW121" s="72"/>
      <c r="DX121" s="72"/>
      <c r="DY121" s="72"/>
      <c r="DZ121" s="72"/>
      <c r="EA121" s="72"/>
      <c r="EB121" s="72"/>
      <c r="EC121" s="72"/>
      <c r="ED121" s="72"/>
      <c r="EE121" s="72"/>
    </row>
    <row r="122" spans="1:135" s="5" customFormat="1" ht="12.75" customHeight="1">
      <c r="A122" s="11"/>
      <c r="B122" s="4"/>
      <c r="C122" s="6"/>
      <c r="D122" s="6"/>
      <c r="I122" s="6"/>
      <c r="K122" s="11"/>
      <c r="L122" s="11"/>
      <c r="M122" s="11"/>
      <c r="N122" s="40"/>
      <c r="O122" s="40"/>
      <c r="P122" s="40"/>
      <c r="Q122" s="40"/>
      <c r="R122" s="40"/>
      <c r="S122" s="40"/>
      <c r="T122" s="41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1"/>
      <c r="AX122" s="41"/>
      <c r="AY122" s="40"/>
      <c r="AZ122" s="42"/>
      <c r="BA122" s="42"/>
      <c r="BB122" s="42"/>
      <c r="BC122" s="42"/>
      <c r="BD122" s="42"/>
      <c r="BE122" s="42"/>
      <c r="BF122" s="42"/>
      <c r="BG122" s="42"/>
      <c r="BH122" s="42"/>
      <c r="BI122" s="40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19"/>
      <c r="BV122" s="16"/>
      <c r="BW122" s="16"/>
      <c r="BX122" s="16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72"/>
      <c r="DN122" s="69"/>
      <c r="DO122" s="69" t="str">
        <f>Sheet3!C114</f>
        <v>4cX 1.5</v>
      </c>
      <c r="DP122" s="69"/>
      <c r="DQ122" s="69"/>
      <c r="DR122" s="72"/>
      <c r="DS122" s="72"/>
      <c r="DT122" s="72"/>
      <c r="DU122" s="72"/>
      <c r="DV122" s="72"/>
      <c r="DW122" s="72"/>
      <c r="DX122" s="72"/>
      <c r="DY122" s="72"/>
      <c r="DZ122" s="72"/>
      <c r="EA122" s="72"/>
      <c r="EB122" s="72"/>
      <c r="EC122" s="72"/>
      <c r="ED122" s="72"/>
      <c r="EE122" s="72"/>
    </row>
    <row r="123" spans="1:135" s="5" customFormat="1" ht="12.75">
      <c r="A123" s="11"/>
      <c r="B123" s="4"/>
      <c r="C123" s="6"/>
      <c r="D123" s="6"/>
      <c r="I123" s="6"/>
      <c r="K123" s="11"/>
      <c r="L123" s="11"/>
      <c r="M123" s="11"/>
      <c r="N123" s="40"/>
      <c r="O123" s="40"/>
      <c r="P123" s="40"/>
      <c r="Q123" s="40"/>
      <c r="R123" s="40"/>
      <c r="S123" s="40"/>
      <c r="T123" s="41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1"/>
      <c r="AX123" s="41"/>
      <c r="AY123" s="40"/>
      <c r="AZ123" s="42"/>
      <c r="BA123" s="42"/>
      <c r="BB123" s="42"/>
      <c r="BC123" s="42"/>
      <c r="BD123" s="42"/>
      <c r="BE123" s="42"/>
      <c r="BF123" s="42"/>
      <c r="BG123" s="42"/>
      <c r="BH123" s="42"/>
      <c r="BI123" s="40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19"/>
      <c r="BV123" s="16"/>
      <c r="BW123" s="16"/>
      <c r="BX123" s="16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72"/>
      <c r="DN123" s="69"/>
      <c r="DO123" s="69" t="str">
        <f>Sheet3!C115</f>
        <v>4cX 2.5</v>
      </c>
      <c r="DP123" s="69"/>
      <c r="DQ123" s="69"/>
      <c r="DR123" s="72"/>
      <c r="DS123" s="72"/>
      <c r="DT123" s="72"/>
      <c r="DU123" s="72"/>
      <c r="DV123" s="72"/>
      <c r="DW123" s="72"/>
      <c r="DX123" s="72"/>
      <c r="DY123" s="72"/>
      <c r="DZ123" s="72"/>
      <c r="EA123" s="72"/>
      <c r="EB123" s="72"/>
      <c r="EC123" s="72"/>
      <c r="ED123" s="72"/>
      <c r="EE123" s="72"/>
    </row>
    <row r="124" spans="1:135" s="5" customFormat="1" ht="12.75">
      <c r="A124" s="11"/>
      <c r="B124" s="4"/>
      <c r="C124" s="6"/>
      <c r="D124" s="6"/>
      <c r="I124" s="6"/>
      <c r="K124" s="11"/>
      <c r="L124" s="11"/>
      <c r="M124" s="11"/>
      <c r="N124" s="40"/>
      <c r="O124" s="40"/>
      <c r="P124" s="40"/>
      <c r="Q124" s="40"/>
      <c r="R124" s="40"/>
      <c r="S124" s="40"/>
      <c r="T124" s="41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1"/>
      <c r="AX124" s="41"/>
      <c r="AY124" s="40"/>
      <c r="AZ124" s="42"/>
      <c r="BA124" s="42"/>
      <c r="BB124" s="42"/>
      <c r="BC124" s="42"/>
      <c r="BD124" s="42"/>
      <c r="BE124" s="42"/>
      <c r="BF124" s="42"/>
      <c r="BG124" s="42"/>
      <c r="BH124" s="42"/>
      <c r="BI124" s="40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19"/>
      <c r="BV124" s="16"/>
      <c r="BW124" s="16"/>
      <c r="BX124" s="16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72"/>
      <c r="DN124" s="69"/>
      <c r="DO124" s="69" t="str">
        <f>Sheet3!C116</f>
        <v>4cX4  </v>
      </c>
      <c r="DP124" s="69"/>
      <c r="DQ124" s="69"/>
      <c r="DR124" s="72"/>
      <c r="DS124" s="72"/>
      <c r="DT124" s="72"/>
      <c r="DU124" s="72"/>
      <c r="DV124" s="72"/>
      <c r="DW124" s="72"/>
      <c r="DX124" s="72"/>
      <c r="DY124" s="72"/>
      <c r="DZ124" s="72"/>
      <c r="EA124" s="72"/>
      <c r="EB124" s="72"/>
      <c r="EC124" s="72"/>
      <c r="ED124" s="72"/>
      <c r="EE124" s="72"/>
    </row>
    <row r="125" spans="1:135" s="5" customFormat="1" ht="12.75">
      <c r="A125" s="11"/>
      <c r="B125" s="4"/>
      <c r="C125" s="6"/>
      <c r="D125" s="6"/>
      <c r="I125" s="6"/>
      <c r="K125" s="11"/>
      <c r="L125" s="11"/>
      <c r="M125" s="11"/>
      <c r="N125" s="40"/>
      <c r="O125" s="40"/>
      <c r="P125" s="40"/>
      <c r="Q125" s="40"/>
      <c r="R125" s="40"/>
      <c r="S125" s="40"/>
      <c r="T125" s="41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1"/>
      <c r="AX125" s="41"/>
      <c r="AY125" s="40"/>
      <c r="AZ125" s="42"/>
      <c r="BA125" s="42"/>
      <c r="BB125" s="42"/>
      <c r="BC125" s="42"/>
      <c r="BD125" s="42"/>
      <c r="BE125" s="42"/>
      <c r="BF125" s="42"/>
      <c r="BG125" s="42"/>
      <c r="BH125" s="42"/>
      <c r="BI125" s="40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19"/>
      <c r="BV125" s="16"/>
      <c r="BW125" s="16"/>
      <c r="BX125" s="16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72"/>
      <c r="DN125" s="69"/>
      <c r="DO125" s="69" t="str">
        <f>Sheet3!C117</f>
        <v>4cX 6  </v>
      </c>
      <c r="DP125" s="69"/>
      <c r="DQ125" s="69"/>
      <c r="DR125" s="72"/>
      <c r="DS125" s="72"/>
      <c r="DT125" s="72"/>
      <c r="DU125" s="72"/>
      <c r="DV125" s="72"/>
      <c r="DW125" s="72"/>
      <c r="DX125" s="72"/>
      <c r="DY125" s="72"/>
      <c r="DZ125" s="72"/>
      <c r="EA125" s="72"/>
      <c r="EB125" s="72"/>
      <c r="EC125" s="72"/>
      <c r="ED125" s="72"/>
      <c r="EE125" s="72"/>
    </row>
    <row r="126" spans="1:135" s="5" customFormat="1" ht="12.75">
      <c r="A126" s="11"/>
      <c r="B126" s="4"/>
      <c r="C126" s="6"/>
      <c r="D126" s="6"/>
      <c r="I126" s="6"/>
      <c r="K126" s="11"/>
      <c r="L126" s="11"/>
      <c r="M126" s="11"/>
      <c r="N126" s="40"/>
      <c r="O126" s="40"/>
      <c r="P126" s="40"/>
      <c r="Q126" s="40"/>
      <c r="R126" s="40"/>
      <c r="S126" s="40"/>
      <c r="T126" s="41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1"/>
      <c r="AX126" s="41"/>
      <c r="AY126" s="40"/>
      <c r="AZ126" s="42"/>
      <c r="BA126" s="42"/>
      <c r="BB126" s="42"/>
      <c r="BC126" s="42"/>
      <c r="BD126" s="42"/>
      <c r="BE126" s="42"/>
      <c r="BF126" s="42"/>
      <c r="BG126" s="42"/>
      <c r="BH126" s="42"/>
      <c r="BI126" s="40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19"/>
      <c r="BV126" s="16"/>
      <c r="BW126" s="16"/>
      <c r="BX126" s="16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72"/>
      <c r="DN126" s="69"/>
      <c r="DO126" s="69" t="str">
        <f>Sheet3!C118</f>
        <v>4cX 10  </v>
      </c>
      <c r="DP126" s="69"/>
      <c r="DQ126" s="69"/>
      <c r="DR126" s="72"/>
      <c r="DS126" s="72"/>
      <c r="DT126" s="72"/>
      <c r="DU126" s="72"/>
      <c r="DV126" s="72"/>
      <c r="DW126" s="72"/>
      <c r="DX126" s="72"/>
      <c r="DY126" s="72"/>
      <c r="DZ126" s="72"/>
      <c r="EA126" s="72"/>
      <c r="EB126" s="72"/>
      <c r="EC126" s="72"/>
      <c r="ED126" s="72"/>
      <c r="EE126" s="72"/>
    </row>
    <row r="127" spans="1:135" s="5" customFormat="1" ht="12.75">
      <c r="A127" s="11"/>
      <c r="B127" s="4"/>
      <c r="C127" s="6"/>
      <c r="D127" s="6"/>
      <c r="I127" s="6"/>
      <c r="K127" s="11"/>
      <c r="L127" s="11"/>
      <c r="M127" s="11"/>
      <c r="N127" s="40"/>
      <c r="O127" s="40"/>
      <c r="P127" s="40"/>
      <c r="Q127" s="40"/>
      <c r="R127" s="40"/>
      <c r="S127" s="40"/>
      <c r="T127" s="41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1"/>
      <c r="AX127" s="41"/>
      <c r="AY127" s="40"/>
      <c r="AZ127" s="42"/>
      <c r="BA127" s="42"/>
      <c r="BB127" s="42"/>
      <c r="BC127" s="42"/>
      <c r="BD127" s="42"/>
      <c r="BE127" s="42"/>
      <c r="BF127" s="42"/>
      <c r="BG127" s="42"/>
      <c r="BH127" s="42"/>
      <c r="BI127" s="40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19"/>
      <c r="BV127" s="16"/>
      <c r="BW127" s="16"/>
      <c r="BX127" s="16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72"/>
      <c r="DN127" s="69"/>
      <c r="DO127" s="69" t="str">
        <f>Sheet3!C119</f>
        <v>4cX16  </v>
      </c>
      <c r="DP127" s="69"/>
      <c r="DQ127" s="69"/>
      <c r="DR127" s="72"/>
      <c r="DS127" s="72"/>
      <c r="DT127" s="72"/>
      <c r="DU127" s="72"/>
      <c r="DV127" s="72"/>
      <c r="DW127" s="72"/>
      <c r="DX127" s="72"/>
      <c r="DY127" s="72"/>
      <c r="DZ127" s="72"/>
      <c r="EA127" s="72"/>
      <c r="EB127" s="72"/>
      <c r="EC127" s="72"/>
      <c r="ED127" s="72"/>
      <c r="EE127" s="72"/>
    </row>
    <row r="128" spans="1:135" s="5" customFormat="1" ht="12.75">
      <c r="A128" s="11"/>
      <c r="B128" s="4"/>
      <c r="C128" s="6"/>
      <c r="D128" s="6"/>
      <c r="I128" s="6"/>
      <c r="K128" s="11"/>
      <c r="L128" s="11"/>
      <c r="M128" s="11"/>
      <c r="N128" s="40"/>
      <c r="O128" s="40"/>
      <c r="P128" s="40"/>
      <c r="Q128" s="40"/>
      <c r="R128" s="40"/>
      <c r="S128" s="40"/>
      <c r="T128" s="41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1"/>
      <c r="AX128" s="41"/>
      <c r="AY128" s="40"/>
      <c r="AZ128" s="42"/>
      <c r="BA128" s="42"/>
      <c r="BB128" s="42"/>
      <c r="BC128" s="42"/>
      <c r="BD128" s="42"/>
      <c r="BE128" s="42"/>
      <c r="BF128" s="42"/>
      <c r="BG128" s="42"/>
      <c r="BH128" s="42"/>
      <c r="BI128" s="40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19"/>
      <c r="BV128" s="16"/>
      <c r="BW128" s="16"/>
      <c r="BX128" s="16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72"/>
      <c r="DN128" s="69"/>
      <c r="DO128" s="69" t="str">
        <f>Sheet3!C120</f>
        <v>4cX 25  </v>
      </c>
      <c r="DP128" s="69"/>
      <c r="DQ128" s="69"/>
      <c r="DR128" s="72"/>
      <c r="DS128" s="72"/>
      <c r="DT128" s="72"/>
      <c r="DU128" s="72"/>
      <c r="DV128" s="72"/>
      <c r="DW128" s="72"/>
      <c r="DX128" s="72"/>
      <c r="DY128" s="72"/>
      <c r="DZ128" s="72"/>
      <c r="EA128" s="72"/>
      <c r="EB128" s="72"/>
      <c r="EC128" s="72"/>
      <c r="ED128" s="72"/>
      <c r="EE128" s="72"/>
    </row>
    <row r="129" spans="1:135" s="5" customFormat="1" ht="12.75">
      <c r="A129" s="11"/>
      <c r="B129" s="4"/>
      <c r="C129" s="6"/>
      <c r="D129" s="6"/>
      <c r="I129" s="6"/>
      <c r="K129" s="11"/>
      <c r="L129" s="11"/>
      <c r="M129" s="11"/>
      <c r="N129" s="40"/>
      <c r="O129" s="40"/>
      <c r="P129" s="40"/>
      <c r="Q129" s="40"/>
      <c r="R129" s="40"/>
      <c r="S129" s="40"/>
      <c r="T129" s="41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1"/>
      <c r="AX129" s="41"/>
      <c r="AY129" s="40"/>
      <c r="AZ129" s="42"/>
      <c r="BA129" s="42"/>
      <c r="BB129" s="42"/>
      <c r="BC129" s="42"/>
      <c r="BD129" s="42"/>
      <c r="BE129" s="42"/>
      <c r="BF129" s="42"/>
      <c r="BG129" s="42"/>
      <c r="BH129" s="42"/>
      <c r="BI129" s="40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19"/>
      <c r="BV129" s="16"/>
      <c r="BW129" s="16"/>
      <c r="BX129" s="16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72"/>
      <c r="DN129" s="69"/>
      <c r="DO129" s="69" t="str">
        <f>Sheet3!C121</f>
        <v>4cX35  </v>
      </c>
      <c r="DP129" s="69"/>
      <c r="DQ129" s="69"/>
      <c r="DR129" s="72"/>
      <c r="DS129" s="72"/>
      <c r="DT129" s="72"/>
      <c r="DU129" s="72"/>
      <c r="DV129" s="72"/>
      <c r="DW129" s="72"/>
      <c r="DX129" s="72"/>
      <c r="DY129" s="72"/>
      <c r="DZ129" s="72"/>
      <c r="EA129" s="72"/>
      <c r="EB129" s="72"/>
      <c r="EC129" s="72"/>
      <c r="ED129" s="72"/>
      <c r="EE129" s="72"/>
    </row>
    <row r="130" spans="1:135" s="5" customFormat="1" ht="12.75">
      <c r="A130" s="11"/>
      <c r="B130" s="4"/>
      <c r="C130" s="6"/>
      <c r="D130" s="6"/>
      <c r="I130" s="6"/>
      <c r="K130" s="11"/>
      <c r="L130" s="11"/>
      <c r="M130" s="11"/>
      <c r="N130" s="40"/>
      <c r="O130" s="40"/>
      <c r="P130" s="40"/>
      <c r="Q130" s="40"/>
      <c r="R130" s="40"/>
      <c r="S130" s="40"/>
      <c r="T130" s="41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1"/>
      <c r="AX130" s="41"/>
      <c r="AY130" s="40"/>
      <c r="AZ130" s="42"/>
      <c r="BA130" s="42"/>
      <c r="BB130" s="42"/>
      <c r="BC130" s="42"/>
      <c r="BD130" s="42"/>
      <c r="BE130" s="42"/>
      <c r="BF130" s="42"/>
      <c r="BG130" s="42"/>
      <c r="BH130" s="42"/>
      <c r="BI130" s="40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19"/>
      <c r="BV130" s="16"/>
      <c r="BW130" s="16"/>
      <c r="BX130" s="16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72"/>
      <c r="DN130" s="69"/>
      <c r="DO130" s="69" t="str">
        <f>Sheet3!C122</f>
        <v>4cX 50  </v>
      </c>
      <c r="DP130" s="69"/>
      <c r="DQ130" s="69"/>
      <c r="DR130" s="72"/>
      <c r="DS130" s="72"/>
      <c r="DT130" s="72"/>
      <c r="DU130" s="72"/>
      <c r="DV130" s="72"/>
      <c r="DW130" s="72"/>
      <c r="DX130" s="72"/>
      <c r="DY130" s="72"/>
      <c r="DZ130" s="72"/>
      <c r="EA130" s="72"/>
      <c r="EB130" s="72"/>
      <c r="EC130" s="72"/>
      <c r="ED130" s="72"/>
      <c r="EE130" s="72"/>
    </row>
    <row r="131" spans="1:135" s="5" customFormat="1" ht="12.75">
      <c r="A131" s="11"/>
      <c r="B131" s="4"/>
      <c r="C131" s="6"/>
      <c r="D131" s="6"/>
      <c r="I131" s="6"/>
      <c r="K131" s="11"/>
      <c r="L131" s="11"/>
      <c r="M131" s="11"/>
      <c r="N131" s="40"/>
      <c r="O131" s="40"/>
      <c r="P131" s="40"/>
      <c r="Q131" s="40"/>
      <c r="R131" s="40"/>
      <c r="S131" s="40"/>
      <c r="T131" s="41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1"/>
      <c r="AX131" s="41"/>
      <c r="AY131" s="40"/>
      <c r="AZ131" s="42"/>
      <c r="BA131" s="42"/>
      <c r="BB131" s="42"/>
      <c r="BC131" s="42"/>
      <c r="BD131" s="42"/>
      <c r="BE131" s="42"/>
      <c r="BF131" s="42"/>
      <c r="BG131" s="42"/>
      <c r="BH131" s="42"/>
      <c r="BI131" s="40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19"/>
      <c r="BV131" s="16"/>
      <c r="BW131" s="16"/>
      <c r="BX131" s="16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72"/>
      <c r="DN131" s="69"/>
      <c r="DO131" s="69" t="str">
        <f>Sheet3!C123</f>
        <v>4cX70  </v>
      </c>
      <c r="DP131" s="69"/>
      <c r="DQ131" s="69"/>
      <c r="DR131" s="72"/>
      <c r="DS131" s="72"/>
      <c r="DT131" s="72"/>
      <c r="DU131" s="72"/>
      <c r="DV131" s="72"/>
      <c r="DW131" s="72"/>
      <c r="DX131" s="72"/>
      <c r="DY131" s="72"/>
      <c r="DZ131" s="72"/>
      <c r="EA131" s="72"/>
      <c r="EB131" s="72"/>
      <c r="EC131" s="72"/>
      <c r="ED131" s="72"/>
      <c r="EE131" s="72"/>
    </row>
    <row r="132" spans="1:135" s="5" customFormat="1" ht="12.75">
      <c r="A132" s="11"/>
      <c r="B132" s="4"/>
      <c r="C132" s="6"/>
      <c r="D132" s="6"/>
      <c r="I132" s="6"/>
      <c r="K132" s="11"/>
      <c r="L132" s="11"/>
      <c r="M132" s="11"/>
      <c r="N132" s="40"/>
      <c r="O132" s="40"/>
      <c r="P132" s="40"/>
      <c r="Q132" s="40"/>
      <c r="R132" s="40"/>
      <c r="S132" s="40"/>
      <c r="T132" s="41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1"/>
      <c r="AX132" s="41"/>
      <c r="AY132" s="40"/>
      <c r="AZ132" s="42"/>
      <c r="BA132" s="42"/>
      <c r="BB132" s="42"/>
      <c r="BC132" s="42"/>
      <c r="BD132" s="42"/>
      <c r="BE132" s="42"/>
      <c r="BF132" s="42"/>
      <c r="BG132" s="42"/>
      <c r="BH132" s="42"/>
      <c r="BI132" s="40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19"/>
      <c r="BV132" s="16"/>
      <c r="BW132" s="16"/>
      <c r="BX132" s="16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72"/>
      <c r="DN132" s="69"/>
      <c r="DO132" s="69" t="str">
        <f>Sheet3!C124</f>
        <v>4cX 95  </v>
      </c>
      <c r="DP132" s="69"/>
      <c r="DQ132" s="69"/>
      <c r="DR132" s="72"/>
      <c r="DS132" s="72"/>
      <c r="DT132" s="72"/>
      <c r="DU132" s="72"/>
      <c r="DV132" s="72"/>
      <c r="DW132" s="72"/>
      <c r="DX132" s="72"/>
      <c r="DY132" s="72"/>
      <c r="DZ132" s="72"/>
      <c r="EA132" s="72"/>
      <c r="EB132" s="72"/>
      <c r="EC132" s="72"/>
      <c r="ED132" s="72"/>
      <c r="EE132" s="72"/>
    </row>
    <row r="133" spans="1:135" s="5" customFormat="1" ht="12.75">
      <c r="A133" s="11"/>
      <c r="B133" s="4"/>
      <c r="C133" s="6"/>
      <c r="D133" s="6"/>
      <c r="I133" s="6"/>
      <c r="K133" s="11"/>
      <c r="L133" s="11"/>
      <c r="M133" s="11"/>
      <c r="N133" s="40"/>
      <c r="O133" s="40"/>
      <c r="P133" s="40"/>
      <c r="Q133" s="40"/>
      <c r="R133" s="40"/>
      <c r="S133" s="40"/>
      <c r="T133" s="41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1"/>
      <c r="AX133" s="41"/>
      <c r="AY133" s="40"/>
      <c r="AZ133" s="42"/>
      <c r="BA133" s="42"/>
      <c r="BB133" s="42"/>
      <c r="BC133" s="42"/>
      <c r="BD133" s="42"/>
      <c r="BE133" s="42"/>
      <c r="BF133" s="42"/>
      <c r="BG133" s="42"/>
      <c r="BH133" s="42"/>
      <c r="BI133" s="40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19"/>
      <c r="BV133" s="16"/>
      <c r="BW133" s="16"/>
      <c r="BX133" s="16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72"/>
      <c r="DN133" s="69"/>
      <c r="DO133" s="69" t="str">
        <f>Sheet3!C125</f>
        <v>4cX 120  </v>
      </c>
      <c r="DP133" s="69"/>
      <c r="DQ133" s="69"/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72"/>
      <c r="EC133" s="72"/>
      <c r="ED133" s="72"/>
      <c r="EE133" s="72"/>
    </row>
    <row r="134" spans="1:135" s="5" customFormat="1" ht="12.75">
      <c r="A134" s="11"/>
      <c r="B134" s="4"/>
      <c r="C134" s="6"/>
      <c r="D134" s="6"/>
      <c r="I134" s="6"/>
      <c r="K134" s="11"/>
      <c r="L134" s="11"/>
      <c r="M134" s="11"/>
      <c r="N134" s="40"/>
      <c r="O134" s="40"/>
      <c r="P134" s="40"/>
      <c r="Q134" s="40"/>
      <c r="R134" s="40"/>
      <c r="S134" s="40"/>
      <c r="T134" s="41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1"/>
      <c r="AX134" s="41"/>
      <c r="AY134" s="40"/>
      <c r="AZ134" s="42"/>
      <c r="BA134" s="42"/>
      <c r="BB134" s="42"/>
      <c r="BC134" s="42"/>
      <c r="BD134" s="42"/>
      <c r="BE134" s="42"/>
      <c r="BF134" s="42"/>
      <c r="BG134" s="42"/>
      <c r="BH134" s="42"/>
      <c r="BI134" s="40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19"/>
      <c r="BV134" s="16"/>
      <c r="BW134" s="16"/>
      <c r="BX134" s="16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72"/>
      <c r="DN134" s="69"/>
      <c r="DO134" s="69" t="str">
        <f>Sheet3!C126</f>
        <v>4cX 150  </v>
      </c>
      <c r="DP134" s="69"/>
      <c r="DQ134" s="69"/>
      <c r="DR134" s="72"/>
      <c r="DS134" s="72"/>
      <c r="DT134" s="72"/>
      <c r="DU134" s="72"/>
      <c r="DV134" s="72"/>
      <c r="DW134" s="72"/>
      <c r="DX134" s="72"/>
      <c r="DY134" s="72"/>
      <c r="DZ134" s="72"/>
      <c r="EA134" s="72"/>
      <c r="EB134" s="72"/>
      <c r="EC134" s="72"/>
      <c r="ED134" s="72"/>
      <c r="EE134" s="72"/>
    </row>
    <row r="135" spans="1:135" s="5" customFormat="1" ht="12.75">
      <c r="A135" s="11"/>
      <c r="B135" s="4"/>
      <c r="C135" s="6"/>
      <c r="D135" s="6"/>
      <c r="I135" s="6"/>
      <c r="K135" s="11"/>
      <c r="L135" s="11"/>
      <c r="M135" s="11"/>
      <c r="N135" s="40"/>
      <c r="O135" s="40"/>
      <c r="P135" s="40"/>
      <c r="Q135" s="40"/>
      <c r="R135" s="40"/>
      <c r="S135" s="40"/>
      <c r="T135" s="41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1"/>
      <c r="AX135" s="41"/>
      <c r="AY135" s="40"/>
      <c r="AZ135" s="42"/>
      <c r="BA135" s="42"/>
      <c r="BB135" s="42"/>
      <c r="BC135" s="42"/>
      <c r="BD135" s="42"/>
      <c r="BE135" s="42"/>
      <c r="BF135" s="42"/>
      <c r="BG135" s="42"/>
      <c r="BH135" s="42"/>
      <c r="BI135" s="40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19"/>
      <c r="BV135" s="16"/>
      <c r="BW135" s="16"/>
      <c r="BX135" s="16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72"/>
      <c r="DN135" s="69"/>
      <c r="DO135" s="69" t="str">
        <f>Sheet3!C127</f>
        <v>4cX 185  </v>
      </c>
      <c r="DP135" s="69"/>
      <c r="DQ135" s="69"/>
      <c r="DR135" s="72"/>
      <c r="DS135" s="72"/>
      <c r="DT135" s="72"/>
      <c r="DU135" s="72"/>
      <c r="DV135" s="72"/>
      <c r="DW135" s="72"/>
      <c r="DX135" s="72"/>
      <c r="DY135" s="72"/>
      <c r="DZ135" s="72"/>
      <c r="EA135" s="72"/>
      <c r="EB135" s="72"/>
      <c r="EC135" s="72"/>
      <c r="ED135" s="72"/>
      <c r="EE135" s="72"/>
    </row>
    <row r="136" spans="1:135" s="5" customFormat="1" ht="12.75">
      <c r="A136" s="11"/>
      <c r="B136" s="4"/>
      <c r="C136" s="6"/>
      <c r="D136" s="6"/>
      <c r="I136" s="6"/>
      <c r="K136" s="11"/>
      <c r="L136" s="11"/>
      <c r="M136" s="11"/>
      <c r="N136" s="40"/>
      <c r="O136" s="40"/>
      <c r="P136" s="40"/>
      <c r="Q136" s="40"/>
      <c r="R136" s="40"/>
      <c r="S136" s="40"/>
      <c r="T136" s="41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1"/>
      <c r="AX136" s="41"/>
      <c r="AY136" s="40"/>
      <c r="AZ136" s="42"/>
      <c r="BA136" s="42"/>
      <c r="BB136" s="42"/>
      <c r="BC136" s="42"/>
      <c r="BD136" s="42"/>
      <c r="BE136" s="42"/>
      <c r="BF136" s="42"/>
      <c r="BG136" s="42"/>
      <c r="BH136" s="42"/>
      <c r="BI136" s="40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19"/>
      <c r="BV136" s="16"/>
      <c r="BW136" s="16"/>
      <c r="BX136" s="16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72"/>
      <c r="DN136" s="69"/>
      <c r="DO136" s="69" t="str">
        <f>Sheet3!C128</f>
        <v>4cX 240  </v>
      </c>
      <c r="DP136" s="69"/>
      <c r="DQ136" s="69"/>
      <c r="DR136" s="72"/>
      <c r="DS136" s="72"/>
      <c r="DT136" s="72"/>
      <c r="DU136" s="72"/>
      <c r="DV136" s="72"/>
      <c r="DW136" s="72"/>
      <c r="DX136" s="72"/>
      <c r="DY136" s="72"/>
      <c r="DZ136" s="72"/>
      <c r="EA136" s="72"/>
      <c r="EB136" s="72"/>
      <c r="EC136" s="72"/>
      <c r="ED136" s="72"/>
      <c r="EE136" s="72"/>
    </row>
    <row r="137" spans="1:135" s="5" customFormat="1" ht="12.75">
      <c r="A137" s="11"/>
      <c r="B137" s="4"/>
      <c r="C137" s="6"/>
      <c r="D137" s="6"/>
      <c r="I137" s="6"/>
      <c r="K137" s="11"/>
      <c r="L137" s="11"/>
      <c r="M137" s="11"/>
      <c r="N137" s="40"/>
      <c r="O137" s="40"/>
      <c r="P137" s="40"/>
      <c r="Q137" s="40"/>
      <c r="R137" s="40"/>
      <c r="S137" s="40"/>
      <c r="T137" s="41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1"/>
      <c r="AX137" s="41"/>
      <c r="AY137" s="40"/>
      <c r="AZ137" s="42"/>
      <c r="BA137" s="42"/>
      <c r="BB137" s="42"/>
      <c r="BC137" s="42"/>
      <c r="BD137" s="42"/>
      <c r="BE137" s="42"/>
      <c r="BF137" s="42"/>
      <c r="BG137" s="42"/>
      <c r="BH137" s="42"/>
      <c r="BI137" s="40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19"/>
      <c r="BV137" s="16"/>
      <c r="BW137" s="16"/>
      <c r="BX137" s="16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72"/>
      <c r="DN137" s="69"/>
      <c r="DO137" s="69" t="str">
        <f>Sheet3!C129</f>
        <v>4cX 300  </v>
      </c>
      <c r="DP137" s="69"/>
      <c r="DQ137" s="69"/>
      <c r="DR137" s="72"/>
      <c r="DS137" s="72"/>
      <c r="DT137" s="72"/>
      <c r="DU137" s="72"/>
      <c r="DV137" s="72"/>
      <c r="DW137" s="72"/>
      <c r="DX137" s="72"/>
      <c r="DY137" s="72"/>
      <c r="DZ137" s="72"/>
      <c r="EA137" s="72"/>
      <c r="EB137" s="72"/>
      <c r="EC137" s="72"/>
      <c r="ED137" s="72"/>
      <c r="EE137" s="72"/>
    </row>
    <row r="138" spans="1:135" s="5" customFormat="1" ht="12.75">
      <c r="A138" s="11"/>
      <c r="B138" s="4"/>
      <c r="C138" s="6"/>
      <c r="D138" s="6"/>
      <c r="I138" s="6"/>
      <c r="K138" s="11"/>
      <c r="L138" s="11"/>
      <c r="M138" s="11"/>
      <c r="N138" s="40"/>
      <c r="O138" s="40"/>
      <c r="P138" s="40"/>
      <c r="Q138" s="40"/>
      <c r="R138" s="40"/>
      <c r="S138" s="40"/>
      <c r="T138" s="41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1"/>
      <c r="AX138" s="41"/>
      <c r="AY138" s="40"/>
      <c r="AZ138" s="42"/>
      <c r="BA138" s="42"/>
      <c r="BB138" s="42"/>
      <c r="BC138" s="42"/>
      <c r="BD138" s="42"/>
      <c r="BE138" s="42"/>
      <c r="BF138" s="42"/>
      <c r="BG138" s="42"/>
      <c r="BH138" s="42"/>
      <c r="BI138" s="40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19"/>
      <c r="BV138" s="16"/>
      <c r="BW138" s="16"/>
      <c r="BX138" s="16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72"/>
      <c r="DN138" s="69"/>
      <c r="DO138" s="69" t="str">
        <f>Sheet3!C130</f>
        <v>4cX 400  </v>
      </c>
      <c r="DP138" s="69"/>
      <c r="DQ138" s="69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</row>
    <row r="139" spans="1:135" s="5" customFormat="1" ht="12.75">
      <c r="A139" s="11"/>
      <c r="B139" s="4"/>
      <c r="C139" s="6"/>
      <c r="D139" s="6"/>
      <c r="I139" s="6"/>
      <c r="K139" s="11"/>
      <c r="L139" s="11"/>
      <c r="M139" s="11"/>
      <c r="N139" s="40"/>
      <c r="O139" s="40"/>
      <c r="P139" s="40"/>
      <c r="Q139" s="40"/>
      <c r="R139" s="40"/>
      <c r="S139" s="40"/>
      <c r="T139" s="41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1"/>
      <c r="AX139" s="41"/>
      <c r="AY139" s="40"/>
      <c r="AZ139" s="42"/>
      <c r="BA139" s="42"/>
      <c r="BB139" s="42"/>
      <c r="BC139" s="42"/>
      <c r="BD139" s="42"/>
      <c r="BE139" s="42"/>
      <c r="BF139" s="42"/>
      <c r="BG139" s="42"/>
      <c r="BH139" s="42"/>
      <c r="BI139" s="40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19"/>
      <c r="BV139" s="16"/>
      <c r="BW139" s="16"/>
      <c r="BX139" s="16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72"/>
      <c r="DN139" s="69"/>
      <c r="DO139" s="69" t="str">
        <f>Sheet3!C131</f>
        <v>4cX 500  </v>
      </c>
      <c r="DP139" s="69"/>
      <c r="DQ139" s="69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</row>
    <row r="140" spans="1:135" s="5" customFormat="1" ht="12.75">
      <c r="A140" s="11"/>
      <c r="B140" s="4"/>
      <c r="C140" s="6"/>
      <c r="D140" s="6"/>
      <c r="I140" s="6"/>
      <c r="K140" s="11"/>
      <c r="L140" s="11"/>
      <c r="M140" s="11"/>
      <c r="N140" s="40"/>
      <c r="O140" s="40"/>
      <c r="P140" s="40"/>
      <c r="Q140" s="40"/>
      <c r="R140" s="40"/>
      <c r="S140" s="40"/>
      <c r="T140" s="41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1"/>
      <c r="AX140" s="41"/>
      <c r="AY140" s="40"/>
      <c r="AZ140" s="42"/>
      <c r="BA140" s="42"/>
      <c r="BB140" s="42"/>
      <c r="BC140" s="42"/>
      <c r="BD140" s="42"/>
      <c r="BE140" s="42"/>
      <c r="BF140" s="42"/>
      <c r="BG140" s="42"/>
      <c r="BH140" s="42"/>
      <c r="BI140" s="40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19"/>
      <c r="BV140" s="16"/>
      <c r="BW140" s="16"/>
      <c r="BX140" s="16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72"/>
      <c r="DN140" s="69"/>
      <c r="DO140" s="69" t="str">
        <f>Sheet3!C132</f>
        <v>4cX 630  </v>
      </c>
      <c r="DP140" s="69"/>
      <c r="DQ140" s="69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</row>
    <row r="141" spans="1:135" s="5" customFormat="1" ht="12.75">
      <c r="A141" s="11"/>
      <c r="B141" s="4"/>
      <c r="C141" s="6"/>
      <c r="D141" s="6"/>
      <c r="I141" s="6"/>
      <c r="K141" s="11"/>
      <c r="L141" s="11"/>
      <c r="M141" s="11"/>
      <c r="N141" s="40"/>
      <c r="O141" s="40"/>
      <c r="P141" s="40"/>
      <c r="Q141" s="40"/>
      <c r="R141" s="40"/>
      <c r="S141" s="40"/>
      <c r="T141" s="41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1"/>
      <c r="AX141" s="41"/>
      <c r="AY141" s="40"/>
      <c r="AZ141" s="42"/>
      <c r="BA141" s="42"/>
      <c r="BB141" s="42"/>
      <c r="BC141" s="42"/>
      <c r="BD141" s="42"/>
      <c r="BE141" s="42"/>
      <c r="BF141" s="42"/>
      <c r="BG141" s="42"/>
      <c r="BH141" s="42"/>
      <c r="BI141" s="40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19"/>
      <c r="BV141" s="16"/>
      <c r="BW141" s="16"/>
      <c r="BX141" s="16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72"/>
      <c r="DN141" s="69"/>
      <c r="DO141" s="69"/>
      <c r="DP141" s="69"/>
      <c r="DQ141" s="69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</row>
    <row r="142" spans="1:135" s="5" customFormat="1" ht="12.75">
      <c r="A142" s="11"/>
      <c r="B142" s="4"/>
      <c r="C142" s="6"/>
      <c r="D142" s="6"/>
      <c r="I142" s="6"/>
      <c r="K142" s="11"/>
      <c r="L142" s="11"/>
      <c r="M142" s="11"/>
      <c r="N142" s="40"/>
      <c r="O142" s="40"/>
      <c r="P142" s="40"/>
      <c r="Q142" s="40"/>
      <c r="R142" s="40"/>
      <c r="S142" s="40"/>
      <c r="T142" s="41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1"/>
      <c r="AX142" s="41"/>
      <c r="AY142" s="40"/>
      <c r="AZ142" s="42"/>
      <c r="BA142" s="42"/>
      <c r="BB142" s="42"/>
      <c r="BC142" s="42"/>
      <c r="BD142" s="42"/>
      <c r="BE142" s="42"/>
      <c r="BF142" s="42"/>
      <c r="BG142" s="42"/>
      <c r="BH142" s="42"/>
      <c r="BI142" s="40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19"/>
      <c r="BV142" s="16"/>
      <c r="BW142" s="16"/>
      <c r="BX142" s="16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72"/>
      <c r="DN142" s="69"/>
      <c r="DO142" s="69"/>
      <c r="DP142" s="69"/>
      <c r="DQ142" s="69"/>
      <c r="DR142" s="72"/>
      <c r="DS142" s="72"/>
      <c r="DT142" s="72"/>
      <c r="DU142" s="72"/>
      <c r="DV142" s="72"/>
      <c r="DW142" s="72"/>
      <c r="DX142" s="72"/>
      <c r="DY142" s="72"/>
      <c r="DZ142" s="72"/>
      <c r="EA142" s="72"/>
      <c r="EB142" s="72"/>
      <c r="EC142" s="72"/>
      <c r="ED142" s="72"/>
      <c r="EE142" s="72"/>
    </row>
    <row r="143" spans="1:135" s="5" customFormat="1" ht="12.75">
      <c r="A143" s="11"/>
      <c r="B143" s="4"/>
      <c r="C143" s="6"/>
      <c r="D143" s="6"/>
      <c r="I143" s="6"/>
      <c r="K143" s="11"/>
      <c r="L143" s="11"/>
      <c r="M143" s="11"/>
      <c r="N143" s="40"/>
      <c r="O143" s="40"/>
      <c r="P143" s="40"/>
      <c r="Q143" s="40"/>
      <c r="R143" s="40"/>
      <c r="S143" s="40"/>
      <c r="T143" s="41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1"/>
      <c r="AX143" s="41"/>
      <c r="AY143" s="40"/>
      <c r="AZ143" s="42"/>
      <c r="BA143" s="42"/>
      <c r="BB143" s="42"/>
      <c r="BC143" s="42"/>
      <c r="BD143" s="42"/>
      <c r="BE143" s="42"/>
      <c r="BF143" s="42"/>
      <c r="BG143" s="42"/>
      <c r="BH143" s="42"/>
      <c r="BI143" s="40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19"/>
      <c r="BV143" s="16"/>
      <c r="BW143" s="16"/>
      <c r="BX143" s="16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72"/>
      <c r="DN143" s="69"/>
      <c r="DO143" s="69"/>
      <c r="DP143" s="69"/>
      <c r="DQ143" s="69"/>
      <c r="DR143" s="72"/>
      <c r="DS143" s="72"/>
      <c r="DT143" s="72"/>
      <c r="DU143" s="72"/>
      <c r="DV143" s="72"/>
      <c r="DW143" s="72"/>
      <c r="DX143" s="72"/>
      <c r="DY143" s="72"/>
      <c r="DZ143" s="72"/>
      <c r="EA143" s="72"/>
      <c r="EB143" s="72"/>
      <c r="EC143" s="72"/>
      <c r="ED143" s="72"/>
      <c r="EE143" s="72"/>
    </row>
    <row r="144" spans="1:135" s="5" customFormat="1" ht="12.75">
      <c r="A144" s="11"/>
      <c r="B144" s="4"/>
      <c r="C144" s="6"/>
      <c r="D144" s="6"/>
      <c r="I144" s="6"/>
      <c r="K144" s="11"/>
      <c r="L144" s="11"/>
      <c r="M144" s="11"/>
      <c r="N144" s="40"/>
      <c r="O144" s="40"/>
      <c r="P144" s="40"/>
      <c r="Q144" s="40"/>
      <c r="R144" s="40"/>
      <c r="S144" s="40"/>
      <c r="T144" s="41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1"/>
      <c r="AX144" s="41"/>
      <c r="AY144" s="40"/>
      <c r="AZ144" s="42"/>
      <c r="BA144" s="42"/>
      <c r="BB144" s="42"/>
      <c r="BC144" s="42"/>
      <c r="BD144" s="42"/>
      <c r="BE144" s="42"/>
      <c r="BF144" s="42"/>
      <c r="BG144" s="42"/>
      <c r="BH144" s="42"/>
      <c r="BI144" s="40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19"/>
      <c r="BV144" s="16"/>
      <c r="BW144" s="16"/>
      <c r="BX144" s="16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72"/>
      <c r="DN144" s="69"/>
      <c r="DO144" s="69"/>
      <c r="DP144" s="69"/>
      <c r="DQ144" s="69"/>
      <c r="DR144" s="72"/>
      <c r="DS144" s="72"/>
      <c r="DT144" s="72"/>
      <c r="DU144" s="72"/>
      <c r="DV144" s="72"/>
      <c r="DW144" s="72"/>
      <c r="DX144" s="72"/>
      <c r="DY144" s="72"/>
      <c r="DZ144" s="72"/>
      <c r="EA144" s="72"/>
      <c r="EB144" s="72"/>
      <c r="EC144" s="72"/>
      <c r="ED144" s="72"/>
      <c r="EE144" s="72"/>
    </row>
    <row r="145" spans="1:135" s="5" customFormat="1" ht="12.75">
      <c r="A145" s="11"/>
      <c r="B145" s="4"/>
      <c r="C145" s="6"/>
      <c r="D145" s="6"/>
      <c r="I145" s="6"/>
      <c r="K145" s="11"/>
      <c r="L145" s="11"/>
      <c r="M145" s="11"/>
      <c r="N145" s="40"/>
      <c r="O145" s="40"/>
      <c r="P145" s="40"/>
      <c r="Q145" s="40"/>
      <c r="R145" s="40"/>
      <c r="S145" s="40"/>
      <c r="T145" s="41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1"/>
      <c r="AX145" s="41"/>
      <c r="AY145" s="40"/>
      <c r="AZ145" s="42"/>
      <c r="BA145" s="42"/>
      <c r="BB145" s="42"/>
      <c r="BC145" s="42"/>
      <c r="BD145" s="42"/>
      <c r="BE145" s="42"/>
      <c r="BF145" s="42"/>
      <c r="BG145" s="42"/>
      <c r="BH145" s="42"/>
      <c r="BI145" s="40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19"/>
      <c r="BV145" s="16"/>
      <c r="BW145" s="16"/>
      <c r="BX145" s="16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72"/>
      <c r="DN145" s="69"/>
      <c r="DO145" s="69"/>
      <c r="DP145" s="69"/>
      <c r="DQ145" s="69"/>
      <c r="DR145" s="72"/>
      <c r="DS145" s="72"/>
      <c r="DT145" s="72"/>
      <c r="DU145" s="72"/>
      <c r="DV145" s="72"/>
      <c r="DW145" s="72"/>
      <c r="DX145" s="72"/>
      <c r="DY145" s="72"/>
      <c r="DZ145" s="72"/>
      <c r="EA145" s="72"/>
      <c r="EB145" s="72"/>
      <c r="EC145" s="72"/>
      <c r="ED145" s="72"/>
      <c r="EE145" s="72"/>
    </row>
    <row r="146" spans="1:135" s="5" customFormat="1" ht="12.75">
      <c r="A146" s="11"/>
      <c r="B146" s="4"/>
      <c r="C146" s="6"/>
      <c r="D146" s="6"/>
      <c r="I146" s="6"/>
      <c r="K146" s="11"/>
      <c r="L146" s="11"/>
      <c r="M146" s="11"/>
      <c r="N146" s="40"/>
      <c r="O146" s="40"/>
      <c r="P146" s="40"/>
      <c r="Q146" s="40"/>
      <c r="R146" s="40"/>
      <c r="S146" s="40"/>
      <c r="T146" s="41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1"/>
      <c r="AX146" s="41"/>
      <c r="AY146" s="40"/>
      <c r="AZ146" s="42"/>
      <c r="BA146" s="42"/>
      <c r="BB146" s="42"/>
      <c r="BC146" s="42"/>
      <c r="BD146" s="42"/>
      <c r="BE146" s="42"/>
      <c r="BF146" s="42"/>
      <c r="BG146" s="42"/>
      <c r="BH146" s="42"/>
      <c r="BI146" s="40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19"/>
      <c r="BV146" s="16"/>
      <c r="BW146" s="16"/>
      <c r="BX146" s="16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72"/>
      <c r="DN146" s="69"/>
      <c r="DO146" s="69"/>
      <c r="DP146" s="69"/>
      <c r="DQ146" s="69"/>
      <c r="DR146" s="72"/>
      <c r="DS146" s="72"/>
      <c r="DT146" s="72"/>
      <c r="DU146" s="72"/>
      <c r="DV146" s="72"/>
      <c r="DW146" s="72"/>
      <c r="DX146" s="72"/>
      <c r="DY146" s="72"/>
      <c r="DZ146" s="72"/>
      <c r="EA146" s="72"/>
      <c r="EB146" s="72"/>
      <c r="EC146" s="72"/>
      <c r="ED146" s="72"/>
      <c r="EE146" s="72"/>
    </row>
    <row r="147" spans="1:135" s="5" customFormat="1" ht="12.75">
      <c r="A147" s="11"/>
      <c r="B147" s="4"/>
      <c r="C147" s="6"/>
      <c r="D147" s="6"/>
      <c r="I147" s="6"/>
      <c r="K147" s="11"/>
      <c r="L147" s="11"/>
      <c r="M147" s="11"/>
      <c r="N147" s="40"/>
      <c r="O147" s="40"/>
      <c r="P147" s="40"/>
      <c r="Q147" s="40"/>
      <c r="R147" s="40"/>
      <c r="S147" s="40"/>
      <c r="T147" s="41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1"/>
      <c r="AX147" s="41"/>
      <c r="AY147" s="40"/>
      <c r="AZ147" s="42"/>
      <c r="BA147" s="42"/>
      <c r="BB147" s="42"/>
      <c r="BC147" s="42"/>
      <c r="BD147" s="42"/>
      <c r="BE147" s="42"/>
      <c r="BF147" s="42"/>
      <c r="BG147" s="42"/>
      <c r="BH147" s="42"/>
      <c r="BI147" s="40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19"/>
      <c r="BV147" s="16"/>
      <c r="BW147" s="16"/>
      <c r="BX147" s="16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72"/>
      <c r="DN147" s="69"/>
      <c r="DO147" s="69"/>
      <c r="DP147" s="69"/>
      <c r="DQ147" s="69"/>
      <c r="DR147" s="72"/>
      <c r="DS147" s="72"/>
      <c r="DT147" s="72"/>
      <c r="DU147" s="72"/>
      <c r="DV147" s="72"/>
      <c r="DW147" s="72"/>
      <c r="DX147" s="72"/>
      <c r="DY147" s="72"/>
      <c r="DZ147" s="72"/>
      <c r="EA147" s="72"/>
      <c r="EB147" s="72"/>
      <c r="EC147" s="72"/>
      <c r="ED147" s="72"/>
      <c r="EE147" s="72"/>
    </row>
    <row r="148" spans="1:135" s="5" customFormat="1" ht="12.75">
      <c r="A148" s="11"/>
      <c r="B148" s="4"/>
      <c r="C148" s="6"/>
      <c r="D148" s="6"/>
      <c r="I148" s="6"/>
      <c r="K148" s="11"/>
      <c r="L148" s="11"/>
      <c r="M148" s="11"/>
      <c r="N148" s="40"/>
      <c r="O148" s="40"/>
      <c r="P148" s="40"/>
      <c r="Q148" s="40"/>
      <c r="R148" s="40"/>
      <c r="S148" s="40"/>
      <c r="T148" s="41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1"/>
      <c r="AX148" s="41"/>
      <c r="AY148" s="40"/>
      <c r="AZ148" s="42"/>
      <c r="BA148" s="42"/>
      <c r="BB148" s="42"/>
      <c r="BC148" s="42"/>
      <c r="BD148" s="42"/>
      <c r="BE148" s="42"/>
      <c r="BF148" s="42"/>
      <c r="BG148" s="42"/>
      <c r="BH148" s="42"/>
      <c r="BI148" s="40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19"/>
      <c r="BV148" s="16"/>
      <c r="BW148" s="16"/>
      <c r="BX148" s="16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72"/>
      <c r="DN148" s="69"/>
      <c r="DO148" s="69"/>
      <c r="DP148" s="69"/>
      <c r="DQ148" s="69"/>
      <c r="DR148" s="72"/>
      <c r="DS148" s="72"/>
      <c r="DT148" s="72"/>
      <c r="DU148" s="72"/>
      <c r="DV148" s="72"/>
      <c r="DW148" s="72"/>
      <c r="DX148" s="72"/>
      <c r="DY148" s="72"/>
      <c r="DZ148" s="72"/>
      <c r="EA148" s="72"/>
      <c r="EB148" s="72"/>
      <c r="EC148" s="72"/>
      <c r="ED148" s="72"/>
      <c r="EE148" s="72"/>
    </row>
    <row r="149" spans="1:135" s="5" customFormat="1" ht="12.75">
      <c r="A149" s="11"/>
      <c r="B149" s="4"/>
      <c r="C149" s="6"/>
      <c r="D149" s="6"/>
      <c r="I149" s="6"/>
      <c r="K149" s="11"/>
      <c r="L149" s="11"/>
      <c r="M149" s="11"/>
      <c r="N149" s="40"/>
      <c r="O149" s="40"/>
      <c r="P149" s="40"/>
      <c r="Q149" s="40"/>
      <c r="R149" s="40"/>
      <c r="S149" s="40"/>
      <c r="T149" s="41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1"/>
      <c r="AX149" s="41"/>
      <c r="AY149" s="40"/>
      <c r="AZ149" s="42"/>
      <c r="BA149" s="42"/>
      <c r="BB149" s="42"/>
      <c r="BC149" s="42"/>
      <c r="BD149" s="42"/>
      <c r="BE149" s="42"/>
      <c r="BF149" s="42"/>
      <c r="BG149" s="42"/>
      <c r="BH149" s="42"/>
      <c r="BI149" s="40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19"/>
      <c r="BV149" s="16"/>
      <c r="BW149" s="16"/>
      <c r="BX149" s="16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72"/>
      <c r="DN149" s="69"/>
      <c r="DO149" s="69"/>
      <c r="DP149" s="69"/>
      <c r="DQ149" s="69"/>
      <c r="DR149" s="72"/>
      <c r="DS149" s="72"/>
      <c r="DT149" s="72"/>
      <c r="DU149" s="72"/>
      <c r="DV149" s="72"/>
      <c r="DW149" s="72"/>
      <c r="DX149" s="72"/>
      <c r="DY149" s="72"/>
      <c r="DZ149" s="72"/>
      <c r="EA149" s="72"/>
      <c r="EB149" s="72"/>
      <c r="EC149" s="72"/>
      <c r="ED149" s="72"/>
      <c r="EE149" s="72"/>
    </row>
    <row r="150" spans="1:135" s="5" customFormat="1" ht="12.75">
      <c r="A150" s="11"/>
      <c r="B150" s="4"/>
      <c r="C150" s="6"/>
      <c r="D150" s="6"/>
      <c r="I150" s="6"/>
      <c r="K150" s="11"/>
      <c r="L150" s="11"/>
      <c r="M150" s="11"/>
      <c r="N150" s="40"/>
      <c r="O150" s="40"/>
      <c r="P150" s="40"/>
      <c r="Q150" s="40"/>
      <c r="R150" s="40"/>
      <c r="S150" s="40"/>
      <c r="T150" s="41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1"/>
      <c r="AX150" s="41"/>
      <c r="AY150" s="40"/>
      <c r="AZ150" s="42"/>
      <c r="BA150" s="42"/>
      <c r="BB150" s="42"/>
      <c r="BC150" s="42"/>
      <c r="BD150" s="42"/>
      <c r="BE150" s="42"/>
      <c r="BF150" s="42"/>
      <c r="BG150" s="42"/>
      <c r="BH150" s="42"/>
      <c r="BI150" s="40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19"/>
      <c r="BV150" s="16"/>
      <c r="BW150" s="16"/>
      <c r="BX150" s="16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72"/>
      <c r="DN150" s="69"/>
      <c r="DO150" s="69"/>
      <c r="DP150" s="69"/>
      <c r="DQ150" s="69"/>
      <c r="DR150" s="72"/>
      <c r="DS150" s="72"/>
      <c r="DT150" s="72"/>
      <c r="DU150" s="72"/>
      <c r="DV150" s="72"/>
      <c r="DW150" s="72"/>
      <c r="DX150" s="72"/>
      <c r="DY150" s="72"/>
      <c r="DZ150" s="72"/>
      <c r="EA150" s="72"/>
      <c r="EB150" s="72"/>
      <c r="EC150" s="72"/>
      <c r="ED150" s="72"/>
      <c r="EE150" s="72"/>
    </row>
    <row r="151" spans="1:135" s="5" customFormat="1" ht="12.75">
      <c r="A151" s="11"/>
      <c r="B151" s="4"/>
      <c r="C151" s="6"/>
      <c r="D151" s="6"/>
      <c r="I151" s="6"/>
      <c r="K151" s="11"/>
      <c r="L151" s="11"/>
      <c r="M151" s="11"/>
      <c r="N151" s="40"/>
      <c r="O151" s="40"/>
      <c r="P151" s="40"/>
      <c r="Q151" s="40"/>
      <c r="R151" s="40"/>
      <c r="S151" s="40"/>
      <c r="T151" s="41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1"/>
      <c r="AX151" s="41"/>
      <c r="AY151" s="40"/>
      <c r="AZ151" s="42"/>
      <c r="BA151" s="42"/>
      <c r="BB151" s="42"/>
      <c r="BC151" s="42"/>
      <c r="BD151" s="42"/>
      <c r="BE151" s="42"/>
      <c r="BF151" s="42"/>
      <c r="BG151" s="42"/>
      <c r="BH151" s="42"/>
      <c r="BI151" s="40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19"/>
      <c r="BV151" s="16"/>
      <c r="BW151" s="16"/>
      <c r="BX151" s="16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72"/>
      <c r="DN151" s="69"/>
      <c r="DO151" s="69"/>
      <c r="DP151" s="69"/>
      <c r="DQ151" s="69"/>
      <c r="DR151" s="72"/>
      <c r="DS151" s="72"/>
      <c r="DT151" s="72"/>
      <c r="DU151" s="72"/>
      <c r="DV151" s="72"/>
      <c r="DW151" s="72"/>
      <c r="DX151" s="72"/>
      <c r="DY151" s="72"/>
      <c r="DZ151" s="72"/>
      <c r="EA151" s="72"/>
      <c r="EB151" s="72"/>
      <c r="EC151" s="72"/>
      <c r="ED151" s="72"/>
      <c r="EE151" s="72"/>
    </row>
    <row r="152" spans="1:135" s="5" customFormat="1" ht="12.75">
      <c r="A152" s="11"/>
      <c r="B152" s="4"/>
      <c r="C152" s="6"/>
      <c r="D152" s="6"/>
      <c r="I152" s="6"/>
      <c r="K152" s="11"/>
      <c r="L152" s="11"/>
      <c r="M152" s="11"/>
      <c r="N152" s="40"/>
      <c r="O152" s="40"/>
      <c r="P152" s="40"/>
      <c r="Q152" s="40"/>
      <c r="R152" s="40"/>
      <c r="S152" s="40"/>
      <c r="T152" s="41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1"/>
      <c r="AX152" s="41"/>
      <c r="AY152" s="40"/>
      <c r="AZ152" s="42"/>
      <c r="BA152" s="42"/>
      <c r="BB152" s="42"/>
      <c r="BC152" s="42"/>
      <c r="BD152" s="42"/>
      <c r="BE152" s="42"/>
      <c r="BF152" s="42"/>
      <c r="BG152" s="42"/>
      <c r="BH152" s="42"/>
      <c r="BI152" s="40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19"/>
      <c r="BV152" s="16"/>
      <c r="BW152" s="16"/>
      <c r="BX152" s="16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72"/>
      <c r="DN152" s="69"/>
      <c r="DO152" s="69"/>
      <c r="DP152" s="69"/>
      <c r="DQ152" s="69"/>
      <c r="DR152" s="72"/>
      <c r="DS152" s="72"/>
      <c r="DT152" s="72"/>
      <c r="DU152" s="72"/>
      <c r="DV152" s="72"/>
      <c r="DW152" s="72"/>
      <c r="DX152" s="72"/>
      <c r="DY152" s="72"/>
      <c r="DZ152" s="72"/>
      <c r="EA152" s="72"/>
      <c r="EB152" s="72"/>
      <c r="EC152" s="72"/>
      <c r="ED152" s="72"/>
      <c r="EE152" s="72"/>
    </row>
    <row r="153" spans="1:135" s="5" customFormat="1" ht="12.75">
      <c r="A153" s="11"/>
      <c r="B153" s="4"/>
      <c r="C153" s="6"/>
      <c r="D153" s="6"/>
      <c r="I153" s="6"/>
      <c r="K153" s="11"/>
      <c r="L153" s="11"/>
      <c r="M153" s="11"/>
      <c r="N153" s="40"/>
      <c r="O153" s="40"/>
      <c r="P153" s="40"/>
      <c r="Q153" s="40"/>
      <c r="R153" s="40"/>
      <c r="S153" s="40"/>
      <c r="T153" s="41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1"/>
      <c r="AX153" s="41"/>
      <c r="AY153" s="40"/>
      <c r="AZ153" s="42"/>
      <c r="BA153" s="42"/>
      <c r="BB153" s="42"/>
      <c r="BC153" s="42"/>
      <c r="BD153" s="42"/>
      <c r="BE153" s="42"/>
      <c r="BF153" s="42"/>
      <c r="BG153" s="42"/>
      <c r="BH153" s="42"/>
      <c r="BI153" s="40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19"/>
      <c r="BV153" s="16"/>
      <c r="BW153" s="16"/>
      <c r="BX153" s="16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72"/>
      <c r="DN153" s="69"/>
      <c r="DO153" s="69"/>
      <c r="DP153" s="69"/>
      <c r="DQ153" s="69"/>
      <c r="DR153" s="72"/>
      <c r="DS153" s="72"/>
      <c r="DT153" s="72"/>
      <c r="DU153" s="72"/>
      <c r="DV153" s="72"/>
      <c r="DW153" s="72"/>
      <c r="DX153" s="72"/>
      <c r="DY153" s="72"/>
      <c r="DZ153" s="72"/>
      <c r="EA153" s="72"/>
      <c r="EB153" s="72"/>
      <c r="EC153" s="72"/>
      <c r="ED153" s="72"/>
      <c r="EE153" s="72"/>
    </row>
    <row r="154" spans="1:135" s="5" customFormat="1" ht="12.75">
      <c r="A154" s="11"/>
      <c r="B154" s="4"/>
      <c r="C154" s="6"/>
      <c r="D154" s="6"/>
      <c r="I154" s="6"/>
      <c r="K154" s="11"/>
      <c r="L154" s="11"/>
      <c r="M154" s="11"/>
      <c r="N154" s="40"/>
      <c r="O154" s="40"/>
      <c r="P154" s="40"/>
      <c r="Q154" s="40"/>
      <c r="R154" s="40"/>
      <c r="S154" s="40"/>
      <c r="T154" s="41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1"/>
      <c r="AX154" s="41"/>
      <c r="AY154" s="40"/>
      <c r="AZ154" s="42"/>
      <c r="BA154" s="42"/>
      <c r="BB154" s="42"/>
      <c r="BC154" s="42"/>
      <c r="BD154" s="42"/>
      <c r="BE154" s="42"/>
      <c r="BF154" s="42"/>
      <c r="BG154" s="42"/>
      <c r="BH154" s="42"/>
      <c r="BI154" s="40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19"/>
      <c r="BV154" s="16"/>
      <c r="BW154" s="16"/>
      <c r="BX154" s="16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72"/>
      <c r="DN154" s="69"/>
      <c r="DO154" s="69"/>
      <c r="DP154" s="69"/>
      <c r="DQ154" s="69"/>
      <c r="DR154" s="72"/>
      <c r="DS154" s="72"/>
      <c r="DT154" s="72"/>
      <c r="DU154" s="72"/>
      <c r="DV154" s="72"/>
      <c r="DW154" s="72"/>
      <c r="DX154" s="72"/>
      <c r="DY154" s="72"/>
      <c r="DZ154" s="72"/>
      <c r="EA154" s="72"/>
      <c r="EB154" s="72"/>
      <c r="EC154" s="72"/>
      <c r="ED154" s="72"/>
      <c r="EE154" s="72"/>
    </row>
    <row r="155" spans="1:135" s="5" customFormat="1" ht="12.75">
      <c r="A155" s="11"/>
      <c r="B155" s="4"/>
      <c r="C155" s="6"/>
      <c r="D155" s="6"/>
      <c r="I155" s="6"/>
      <c r="K155" s="11"/>
      <c r="L155" s="11"/>
      <c r="M155" s="11"/>
      <c r="N155" s="40"/>
      <c r="O155" s="40"/>
      <c r="P155" s="40"/>
      <c r="Q155" s="40"/>
      <c r="R155" s="40"/>
      <c r="S155" s="40"/>
      <c r="T155" s="41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1"/>
      <c r="AX155" s="41"/>
      <c r="AY155" s="40"/>
      <c r="AZ155" s="42"/>
      <c r="BA155" s="42"/>
      <c r="BB155" s="42"/>
      <c r="BC155" s="42"/>
      <c r="BD155" s="42"/>
      <c r="BE155" s="42"/>
      <c r="BF155" s="42"/>
      <c r="BG155" s="42"/>
      <c r="BH155" s="42"/>
      <c r="BI155" s="40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19"/>
      <c r="BV155" s="16"/>
      <c r="BW155" s="16"/>
      <c r="BX155" s="16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72"/>
      <c r="DN155" s="69"/>
      <c r="DO155" s="69"/>
      <c r="DP155" s="69"/>
      <c r="DQ155" s="69"/>
      <c r="DR155" s="72"/>
      <c r="DS155" s="72"/>
      <c r="DT155" s="72"/>
      <c r="DU155" s="72"/>
      <c r="DV155" s="72"/>
      <c r="DW155" s="72"/>
      <c r="DX155" s="72"/>
      <c r="DY155" s="72"/>
      <c r="DZ155" s="72"/>
      <c r="EA155" s="72"/>
      <c r="EB155" s="72"/>
      <c r="EC155" s="72"/>
      <c r="ED155" s="72"/>
      <c r="EE155" s="72"/>
    </row>
    <row r="156" spans="1:135" s="5" customFormat="1" ht="12.75">
      <c r="A156" s="11"/>
      <c r="B156" s="4"/>
      <c r="C156" s="6"/>
      <c r="D156" s="6"/>
      <c r="I156" s="6"/>
      <c r="K156" s="11"/>
      <c r="L156" s="11"/>
      <c r="M156" s="11"/>
      <c r="N156" s="40"/>
      <c r="O156" s="40"/>
      <c r="P156" s="40"/>
      <c r="Q156" s="40"/>
      <c r="R156" s="40"/>
      <c r="S156" s="40"/>
      <c r="T156" s="41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1"/>
      <c r="AX156" s="41"/>
      <c r="AY156" s="40"/>
      <c r="AZ156" s="42"/>
      <c r="BA156" s="42"/>
      <c r="BB156" s="42"/>
      <c r="BC156" s="42"/>
      <c r="BD156" s="42"/>
      <c r="BE156" s="42"/>
      <c r="BF156" s="42"/>
      <c r="BG156" s="42"/>
      <c r="BH156" s="42"/>
      <c r="BI156" s="40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19"/>
      <c r="BV156" s="16"/>
      <c r="BW156" s="16"/>
      <c r="BX156" s="16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72"/>
      <c r="DN156" s="69"/>
      <c r="DO156" s="69"/>
      <c r="DP156" s="69"/>
      <c r="DQ156" s="69"/>
      <c r="DR156" s="72"/>
      <c r="DS156" s="72"/>
      <c r="DT156" s="72"/>
      <c r="DU156" s="72"/>
      <c r="DV156" s="72"/>
      <c r="DW156" s="72"/>
      <c r="DX156" s="72"/>
      <c r="DY156" s="72"/>
      <c r="DZ156" s="72"/>
      <c r="EA156" s="72"/>
      <c r="EB156" s="72"/>
      <c r="EC156" s="72"/>
      <c r="ED156" s="72"/>
      <c r="EE156" s="72"/>
    </row>
    <row r="157" spans="1:135" s="5" customFormat="1" ht="12.75">
      <c r="A157" s="11"/>
      <c r="B157" s="4"/>
      <c r="C157" s="6"/>
      <c r="D157" s="6"/>
      <c r="I157" s="6"/>
      <c r="K157" s="11"/>
      <c r="L157" s="11"/>
      <c r="M157" s="11"/>
      <c r="N157" s="40"/>
      <c r="O157" s="40"/>
      <c r="P157" s="40"/>
      <c r="Q157" s="40"/>
      <c r="R157" s="40"/>
      <c r="S157" s="40"/>
      <c r="T157" s="41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1"/>
      <c r="AX157" s="41"/>
      <c r="AY157" s="40"/>
      <c r="AZ157" s="42"/>
      <c r="BA157" s="42"/>
      <c r="BB157" s="42"/>
      <c r="BC157" s="42"/>
      <c r="BD157" s="42"/>
      <c r="BE157" s="42"/>
      <c r="BF157" s="42"/>
      <c r="BG157" s="42"/>
      <c r="BH157" s="42"/>
      <c r="BI157" s="40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19"/>
      <c r="BV157" s="16"/>
      <c r="BW157" s="16"/>
      <c r="BX157" s="16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72"/>
      <c r="DN157" s="69"/>
      <c r="DO157" s="69"/>
      <c r="DP157" s="69"/>
      <c r="DQ157" s="69"/>
      <c r="DR157" s="72"/>
      <c r="DS157" s="72"/>
      <c r="DT157" s="72"/>
      <c r="DU157" s="72"/>
      <c r="DV157" s="72"/>
      <c r="DW157" s="72"/>
      <c r="DX157" s="72"/>
      <c r="DY157" s="72"/>
      <c r="DZ157" s="72"/>
      <c r="EA157" s="72"/>
      <c r="EB157" s="72"/>
      <c r="EC157" s="72"/>
      <c r="ED157" s="72"/>
      <c r="EE157" s="72"/>
    </row>
    <row r="158" spans="1:135" s="5" customFormat="1" ht="12.75">
      <c r="A158" s="11"/>
      <c r="B158" s="4"/>
      <c r="C158" s="6"/>
      <c r="D158" s="6"/>
      <c r="I158" s="6"/>
      <c r="K158" s="11"/>
      <c r="L158" s="11"/>
      <c r="M158" s="11"/>
      <c r="N158" s="40"/>
      <c r="O158" s="40"/>
      <c r="P158" s="40"/>
      <c r="Q158" s="40"/>
      <c r="R158" s="40"/>
      <c r="S158" s="40"/>
      <c r="T158" s="41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1"/>
      <c r="AX158" s="41"/>
      <c r="AY158" s="40"/>
      <c r="AZ158" s="42"/>
      <c r="BA158" s="42"/>
      <c r="BB158" s="42"/>
      <c r="BC158" s="42"/>
      <c r="BD158" s="42"/>
      <c r="BE158" s="42"/>
      <c r="BF158" s="42"/>
      <c r="BG158" s="42"/>
      <c r="BH158" s="42"/>
      <c r="BI158" s="40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19"/>
      <c r="BV158" s="16"/>
      <c r="BW158" s="16"/>
      <c r="BX158" s="16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72"/>
      <c r="DN158" s="69"/>
      <c r="DO158" s="69"/>
      <c r="DP158" s="69"/>
      <c r="DQ158" s="69"/>
      <c r="DR158" s="72"/>
      <c r="DS158" s="72"/>
      <c r="DT158" s="72"/>
      <c r="DU158" s="72"/>
      <c r="DV158" s="72"/>
      <c r="DW158" s="72"/>
      <c r="DX158" s="72"/>
      <c r="DY158" s="72"/>
      <c r="DZ158" s="72"/>
      <c r="EA158" s="72"/>
      <c r="EB158" s="72"/>
      <c r="EC158" s="72"/>
      <c r="ED158" s="72"/>
      <c r="EE158" s="72"/>
    </row>
    <row r="159" spans="1:135" s="5" customFormat="1" ht="12.75">
      <c r="A159" s="11"/>
      <c r="B159" s="4"/>
      <c r="C159" s="6"/>
      <c r="D159" s="6"/>
      <c r="I159" s="6"/>
      <c r="K159" s="11"/>
      <c r="L159" s="11"/>
      <c r="M159" s="11"/>
      <c r="N159" s="40"/>
      <c r="O159" s="40"/>
      <c r="P159" s="40"/>
      <c r="Q159" s="40"/>
      <c r="R159" s="40"/>
      <c r="S159" s="40"/>
      <c r="T159" s="41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1"/>
      <c r="AX159" s="41"/>
      <c r="AY159" s="40"/>
      <c r="AZ159" s="42"/>
      <c r="BA159" s="42"/>
      <c r="BB159" s="42"/>
      <c r="BC159" s="42"/>
      <c r="BD159" s="42"/>
      <c r="BE159" s="42"/>
      <c r="BF159" s="42"/>
      <c r="BG159" s="42"/>
      <c r="BH159" s="42"/>
      <c r="BI159" s="40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19"/>
      <c r="BV159" s="16"/>
      <c r="BW159" s="16"/>
      <c r="BX159" s="16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72"/>
      <c r="DN159" s="69"/>
      <c r="DO159" s="69"/>
      <c r="DP159" s="69"/>
      <c r="DQ159" s="69"/>
      <c r="DR159" s="72"/>
      <c r="DS159" s="72"/>
      <c r="DT159" s="72"/>
      <c r="DU159" s="72"/>
      <c r="DV159" s="72"/>
      <c r="DW159" s="72"/>
      <c r="DX159" s="72"/>
      <c r="DY159" s="72"/>
      <c r="DZ159" s="72"/>
      <c r="EA159" s="72"/>
      <c r="EB159" s="72"/>
      <c r="EC159" s="72"/>
      <c r="ED159" s="72"/>
      <c r="EE159" s="72"/>
    </row>
    <row r="160" spans="1:135" s="5" customFormat="1" ht="12.75">
      <c r="A160" s="11"/>
      <c r="B160" s="4"/>
      <c r="C160" s="6"/>
      <c r="D160" s="6"/>
      <c r="I160" s="6"/>
      <c r="K160" s="11"/>
      <c r="L160" s="11"/>
      <c r="M160" s="11"/>
      <c r="N160" s="40"/>
      <c r="O160" s="40"/>
      <c r="P160" s="40"/>
      <c r="Q160" s="40"/>
      <c r="R160" s="40"/>
      <c r="S160" s="40"/>
      <c r="T160" s="41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1"/>
      <c r="AX160" s="41"/>
      <c r="AY160" s="40"/>
      <c r="AZ160" s="42"/>
      <c r="BA160" s="42"/>
      <c r="BB160" s="42"/>
      <c r="BC160" s="42"/>
      <c r="BD160" s="42"/>
      <c r="BE160" s="42"/>
      <c r="BF160" s="42"/>
      <c r="BG160" s="42"/>
      <c r="BH160" s="42"/>
      <c r="BI160" s="40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19"/>
      <c r="BV160" s="16"/>
      <c r="BW160" s="16"/>
      <c r="BX160" s="16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72"/>
      <c r="DN160" s="69"/>
      <c r="DO160" s="69"/>
      <c r="DP160" s="69"/>
      <c r="DQ160" s="69"/>
      <c r="DR160" s="72"/>
      <c r="DS160" s="72"/>
      <c r="DT160" s="72"/>
      <c r="DU160" s="72"/>
      <c r="DV160" s="72"/>
      <c r="DW160" s="72"/>
      <c r="DX160" s="72"/>
      <c r="DY160" s="72"/>
      <c r="DZ160" s="72"/>
      <c r="EA160" s="72"/>
      <c r="EB160" s="72"/>
      <c r="EC160" s="72"/>
      <c r="ED160" s="72"/>
      <c r="EE160" s="72"/>
    </row>
    <row r="161" spans="1:135" s="5" customFormat="1" ht="12.75">
      <c r="A161" s="11"/>
      <c r="B161" s="4"/>
      <c r="C161" s="6"/>
      <c r="D161" s="6"/>
      <c r="I161" s="6"/>
      <c r="K161" s="11"/>
      <c r="L161" s="11"/>
      <c r="M161" s="11"/>
      <c r="N161" s="40"/>
      <c r="O161" s="40"/>
      <c r="P161" s="40"/>
      <c r="Q161" s="40"/>
      <c r="R161" s="40"/>
      <c r="S161" s="40"/>
      <c r="T161" s="41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1"/>
      <c r="AX161" s="41"/>
      <c r="AY161" s="40"/>
      <c r="AZ161" s="42"/>
      <c r="BA161" s="42"/>
      <c r="BB161" s="42"/>
      <c r="BC161" s="42"/>
      <c r="BD161" s="42"/>
      <c r="BE161" s="42"/>
      <c r="BF161" s="42"/>
      <c r="BG161" s="42"/>
      <c r="BH161" s="42"/>
      <c r="BI161" s="40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19"/>
      <c r="BV161" s="16"/>
      <c r="BW161" s="16"/>
      <c r="BX161" s="16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72"/>
      <c r="DN161" s="69"/>
      <c r="DO161" s="69"/>
      <c r="DP161" s="69"/>
      <c r="DQ161" s="69"/>
      <c r="DR161" s="72"/>
      <c r="DS161" s="72"/>
      <c r="DT161" s="72"/>
      <c r="DU161" s="72"/>
      <c r="DV161" s="72"/>
      <c r="DW161" s="72"/>
      <c r="DX161" s="72"/>
      <c r="DY161" s="72"/>
      <c r="DZ161" s="72"/>
      <c r="EA161" s="72"/>
      <c r="EB161" s="72"/>
      <c r="EC161" s="72"/>
      <c r="ED161" s="72"/>
      <c r="EE161" s="72"/>
    </row>
    <row r="162" spans="1:135" s="5" customFormat="1" ht="12.75">
      <c r="A162" s="11"/>
      <c r="B162" s="4"/>
      <c r="C162" s="6"/>
      <c r="D162" s="6"/>
      <c r="I162" s="6"/>
      <c r="K162" s="11"/>
      <c r="L162" s="11"/>
      <c r="M162" s="11"/>
      <c r="N162" s="40"/>
      <c r="O162" s="40"/>
      <c r="P162" s="40"/>
      <c r="Q162" s="40"/>
      <c r="R162" s="40"/>
      <c r="S162" s="40"/>
      <c r="T162" s="41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1"/>
      <c r="AX162" s="41"/>
      <c r="AY162" s="40"/>
      <c r="AZ162" s="42"/>
      <c r="BA162" s="42"/>
      <c r="BB162" s="42"/>
      <c r="BC162" s="42"/>
      <c r="BD162" s="42"/>
      <c r="BE162" s="42"/>
      <c r="BF162" s="42"/>
      <c r="BG162" s="42"/>
      <c r="BH162" s="42"/>
      <c r="BI162" s="40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19"/>
      <c r="BV162" s="16"/>
      <c r="BW162" s="16"/>
      <c r="BX162" s="16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72"/>
      <c r="DN162" s="69"/>
      <c r="DO162" s="69"/>
      <c r="DP162" s="69"/>
      <c r="DQ162" s="69"/>
      <c r="DR162" s="72"/>
      <c r="DS162" s="72"/>
      <c r="DT162" s="72"/>
      <c r="DU162" s="72"/>
      <c r="DV162" s="72"/>
      <c r="DW162" s="72"/>
      <c r="DX162" s="72"/>
      <c r="DY162" s="72"/>
      <c r="DZ162" s="72"/>
      <c r="EA162" s="72"/>
      <c r="EB162" s="72"/>
      <c r="EC162" s="72"/>
      <c r="ED162" s="72"/>
      <c r="EE162" s="72"/>
    </row>
    <row r="163" spans="1:135" s="5" customFormat="1" ht="12.75">
      <c r="A163" s="11"/>
      <c r="B163" s="4"/>
      <c r="C163" s="6"/>
      <c r="D163" s="6"/>
      <c r="I163" s="6"/>
      <c r="K163" s="11"/>
      <c r="L163" s="11"/>
      <c r="M163" s="11"/>
      <c r="N163" s="40"/>
      <c r="O163" s="40"/>
      <c r="P163" s="40"/>
      <c r="Q163" s="40"/>
      <c r="R163" s="40"/>
      <c r="S163" s="40"/>
      <c r="T163" s="41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1"/>
      <c r="AX163" s="41"/>
      <c r="AY163" s="40"/>
      <c r="AZ163" s="42"/>
      <c r="BA163" s="42"/>
      <c r="BB163" s="42"/>
      <c r="BC163" s="42"/>
      <c r="BD163" s="42"/>
      <c r="BE163" s="42"/>
      <c r="BF163" s="42"/>
      <c r="BG163" s="42"/>
      <c r="BH163" s="42"/>
      <c r="BI163" s="40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19"/>
      <c r="BV163" s="16"/>
      <c r="BW163" s="16"/>
      <c r="BX163" s="16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72"/>
      <c r="DN163" s="69"/>
      <c r="DO163" s="69"/>
      <c r="DP163" s="69"/>
      <c r="DQ163" s="69"/>
      <c r="DR163" s="72"/>
      <c r="DS163" s="72"/>
      <c r="DT163" s="72"/>
      <c r="DU163" s="72"/>
      <c r="DV163" s="72"/>
      <c r="DW163" s="72"/>
      <c r="DX163" s="72"/>
      <c r="DY163" s="72"/>
      <c r="DZ163" s="72"/>
      <c r="EA163" s="72"/>
      <c r="EB163" s="72"/>
      <c r="EC163" s="72"/>
      <c r="ED163" s="72"/>
      <c r="EE163" s="72"/>
    </row>
    <row r="164" spans="1:135" s="5" customFormat="1" ht="12.75">
      <c r="A164" s="11"/>
      <c r="B164" s="4"/>
      <c r="C164" s="6"/>
      <c r="D164" s="6"/>
      <c r="I164" s="6"/>
      <c r="K164" s="11"/>
      <c r="L164" s="11"/>
      <c r="M164" s="11"/>
      <c r="N164" s="40"/>
      <c r="O164" s="40"/>
      <c r="P164" s="40"/>
      <c r="Q164" s="40"/>
      <c r="R164" s="40"/>
      <c r="S164" s="40"/>
      <c r="T164" s="41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1"/>
      <c r="AX164" s="41"/>
      <c r="AY164" s="40"/>
      <c r="AZ164" s="42"/>
      <c r="BA164" s="42"/>
      <c r="BB164" s="42"/>
      <c r="BC164" s="42"/>
      <c r="BD164" s="42"/>
      <c r="BE164" s="42"/>
      <c r="BF164" s="42"/>
      <c r="BG164" s="42"/>
      <c r="BH164" s="42"/>
      <c r="BI164" s="40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19"/>
      <c r="BV164" s="16"/>
      <c r="BW164" s="16"/>
      <c r="BX164" s="16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72"/>
      <c r="DN164" s="69"/>
      <c r="DO164" s="69"/>
      <c r="DP164" s="69"/>
      <c r="DQ164" s="69"/>
      <c r="DR164" s="72"/>
      <c r="DS164" s="72"/>
      <c r="DT164" s="72"/>
      <c r="DU164" s="72"/>
      <c r="DV164" s="72"/>
      <c r="DW164" s="72"/>
      <c r="DX164" s="72"/>
      <c r="DY164" s="72"/>
      <c r="DZ164" s="72"/>
      <c r="EA164" s="72"/>
      <c r="EB164" s="72"/>
      <c r="EC164" s="72"/>
      <c r="ED164" s="72"/>
      <c r="EE164" s="72"/>
    </row>
    <row r="165" spans="1:135" s="5" customFormat="1" ht="12.75">
      <c r="A165" s="11"/>
      <c r="B165" s="4"/>
      <c r="C165" s="6"/>
      <c r="D165" s="6"/>
      <c r="I165" s="6"/>
      <c r="K165" s="11"/>
      <c r="L165" s="11"/>
      <c r="M165" s="11"/>
      <c r="N165" s="40"/>
      <c r="O165" s="40"/>
      <c r="P165" s="40"/>
      <c r="Q165" s="40"/>
      <c r="R165" s="40"/>
      <c r="S165" s="40"/>
      <c r="T165" s="41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1"/>
      <c r="AX165" s="41"/>
      <c r="AY165" s="40"/>
      <c r="AZ165" s="42"/>
      <c r="BA165" s="42"/>
      <c r="BB165" s="42"/>
      <c r="BC165" s="42"/>
      <c r="BD165" s="42"/>
      <c r="BE165" s="42"/>
      <c r="BF165" s="42"/>
      <c r="BG165" s="42"/>
      <c r="BH165" s="42"/>
      <c r="BI165" s="40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19"/>
      <c r="BV165" s="16"/>
      <c r="BW165" s="16"/>
      <c r="BX165" s="16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72"/>
      <c r="DN165" s="72"/>
      <c r="DO165" s="72"/>
      <c r="DP165" s="72"/>
      <c r="DQ165" s="72"/>
      <c r="DR165" s="72"/>
      <c r="DS165" s="72"/>
      <c r="DT165" s="72"/>
      <c r="DU165" s="72"/>
      <c r="DV165" s="72"/>
      <c r="DW165" s="72"/>
      <c r="DX165" s="72"/>
      <c r="DY165" s="72"/>
      <c r="DZ165" s="72"/>
      <c r="EA165" s="72"/>
      <c r="EB165" s="72"/>
      <c r="EC165" s="72"/>
      <c r="ED165" s="72"/>
      <c r="EE165" s="72"/>
    </row>
    <row r="166" spans="1:135" s="5" customFormat="1" ht="12.75">
      <c r="A166" s="11"/>
      <c r="B166" s="4"/>
      <c r="C166" s="6"/>
      <c r="D166" s="6"/>
      <c r="I166" s="6"/>
      <c r="K166" s="11"/>
      <c r="L166" s="11"/>
      <c r="M166" s="11"/>
      <c r="N166" s="40"/>
      <c r="O166" s="40"/>
      <c r="P166" s="40"/>
      <c r="Q166" s="40"/>
      <c r="R166" s="40"/>
      <c r="S166" s="40"/>
      <c r="T166" s="41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1"/>
      <c r="AX166" s="41"/>
      <c r="AY166" s="40"/>
      <c r="AZ166" s="42"/>
      <c r="BA166" s="42"/>
      <c r="BB166" s="42"/>
      <c r="BC166" s="42"/>
      <c r="BD166" s="42"/>
      <c r="BE166" s="42"/>
      <c r="BF166" s="42"/>
      <c r="BG166" s="42"/>
      <c r="BH166" s="42"/>
      <c r="BI166" s="40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19"/>
      <c r="BV166" s="16"/>
      <c r="BW166" s="16"/>
      <c r="BX166" s="16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72"/>
      <c r="DN166" s="72"/>
      <c r="DO166" s="72"/>
      <c r="DP166" s="72"/>
      <c r="DQ166" s="72"/>
      <c r="DR166" s="72"/>
      <c r="DS166" s="72"/>
      <c r="DT166" s="72"/>
      <c r="DU166" s="72"/>
      <c r="DV166" s="72"/>
      <c r="DW166" s="72"/>
      <c r="DX166" s="72"/>
      <c r="DY166" s="72"/>
      <c r="DZ166" s="72"/>
      <c r="EA166" s="72"/>
      <c r="EB166" s="72"/>
      <c r="EC166" s="72"/>
      <c r="ED166" s="72"/>
      <c r="EE166" s="72"/>
    </row>
    <row r="167" spans="1:135" s="5" customFormat="1" ht="12.75">
      <c r="A167" s="11"/>
      <c r="B167" s="4"/>
      <c r="C167" s="6"/>
      <c r="D167" s="6"/>
      <c r="I167" s="6"/>
      <c r="K167" s="11"/>
      <c r="L167" s="11"/>
      <c r="M167" s="11"/>
      <c r="N167" s="40"/>
      <c r="O167" s="40"/>
      <c r="P167" s="40"/>
      <c r="Q167" s="40"/>
      <c r="R167" s="40"/>
      <c r="S167" s="40"/>
      <c r="T167" s="41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1"/>
      <c r="AX167" s="41"/>
      <c r="AY167" s="40"/>
      <c r="AZ167" s="42"/>
      <c r="BA167" s="42"/>
      <c r="BB167" s="42"/>
      <c r="BC167" s="42"/>
      <c r="BD167" s="42"/>
      <c r="BE167" s="42"/>
      <c r="BF167" s="42"/>
      <c r="BG167" s="42"/>
      <c r="BH167" s="42"/>
      <c r="BI167" s="40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19"/>
      <c r="BV167" s="16"/>
      <c r="BW167" s="16"/>
      <c r="BX167" s="16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</row>
    <row r="168" spans="1:135" s="5" customFormat="1" ht="12.75">
      <c r="A168" s="11"/>
      <c r="B168" s="4"/>
      <c r="C168" s="6"/>
      <c r="D168" s="6"/>
      <c r="I168" s="6"/>
      <c r="K168" s="11"/>
      <c r="L168" s="11"/>
      <c r="M168" s="11"/>
      <c r="N168" s="40"/>
      <c r="O168" s="40"/>
      <c r="P168" s="40"/>
      <c r="Q168" s="40"/>
      <c r="R168" s="40"/>
      <c r="S168" s="40"/>
      <c r="T168" s="41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1"/>
      <c r="AX168" s="41"/>
      <c r="AY168" s="40"/>
      <c r="AZ168" s="42"/>
      <c r="BA168" s="42"/>
      <c r="BB168" s="42"/>
      <c r="BC168" s="42"/>
      <c r="BD168" s="42"/>
      <c r="BE168" s="42"/>
      <c r="BF168" s="42"/>
      <c r="BG168" s="42"/>
      <c r="BH168" s="42"/>
      <c r="BI168" s="40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19"/>
      <c r="BV168" s="16"/>
      <c r="BW168" s="16"/>
      <c r="BX168" s="16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</row>
    <row r="169" spans="1:135" s="5" customFormat="1" ht="12.75">
      <c r="A169" s="11"/>
      <c r="B169" s="4"/>
      <c r="C169" s="6"/>
      <c r="D169" s="6"/>
      <c r="I169" s="6"/>
      <c r="K169" s="11"/>
      <c r="L169" s="11"/>
      <c r="M169" s="11"/>
      <c r="N169" s="40"/>
      <c r="O169" s="40"/>
      <c r="P169" s="40"/>
      <c r="Q169" s="40"/>
      <c r="R169" s="40"/>
      <c r="S169" s="40"/>
      <c r="T169" s="41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1"/>
      <c r="AX169" s="41"/>
      <c r="AY169" s="40"/>
      <c r="AZ169" s="42"/>
      <c r="BA169" s="42"/>
      <c r="BB169" s="42"/>
      <c r="BC169" s="42"/>
      <c r="BD169" s="42"/>
      <c r="BE169" s="42"/>
      <c r="BF169" s="42"/>
      <c r="BG169" s="42"/>
      <c r="BH169" s="42"/>
      <c r="BI169" s="40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19"/>
      <c r="BV169" s="16"/>
      <c r="BW169" s="16"/>
      <c r="BX169" s="16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</row>
    <row r="170" spans="1:135" s="5" customFormat="1" ht="12.75">
      <c r="A170" s="11"/>
      <c r="B170" s="4"/>
      <c r="C170" s="6"/>
      <c r="D170" s="6"/>
      <c r="I170" s="6"/>
      <c r="K170" s="11"/>
      <c r="L170" s="11"/>
      <c r="M170" s="11"/>
      <c r="N170" s="40"/>
      <c r="O170" s="40"/>
      <c r="P170" s="40"/>
      <c r="Q170" s="40"/>
      <c r="R170" s="40"/>
      <c r="S170" s="40"/>
      <c r="T170" s="41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1"/>
      <c r="AX170" s="41"/>
      <c r="AY170" s="40"/>
      <c r="AZ170" s="42"/>
      <c r="BA170" s="42"/>
      <c r="BB170" s="42"/>
      <c r="BC170" s="42"/>
      <c r="BD170" s="42"/>
      <c r="BE170" s="42"/>
      <c r="BF170" s="42"/>
      <c r="BG170" s="42"/>
      <c r="BH170" s="42"/>
      <c r="BI170" s="40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19"/>
      <c r="BV170" s="16"/>
      <c r="BW170" s="16"/>
      <c r="BX170" s="16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</row>
    <row r="171" spans="1:135" s="5" customFormat="1" ht="12.75">
      <c r="A171" s="11"/>
      <c r="B171" s="4"/>
      <c r="C171" s="6"/>
      <c r="D171" s="6"/>
      <c r="I171" s="6"/>
      <c r="K171" s="11"/>
      <c r="L171" s="11"/>
      <c r="M171" s="11"/>
      <c r="N171" s="40"/>
      <c r="O171" s="40"/>
      <c r="P171" s="40"/>
      <c r="Q171" s="40"/>
      <c r="R171" s="40"/>
      <c r="S171" s="40"/>
      <c r="T171" s="41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1"/>
      <c r="AX171" s="41"/>
      <c r="AY171" s="40"/>
      <c r="AZ171" s="42"/>
      <c r="BA171" s="42"/>
      <c r="BB171" s="42"/>
      <c r="BC171" s="42"/>
      <c r="BD171" s="42"/>
      <c r="BE171" s="42"/>
      <c r="BF171" s="42"/>
      <c r="BG171" s="42"/>
      <c r="BH171" s="42"/>
      <c r="BI171" s="40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19"/>
      <c r="BV171" s="16"/>
      <c r="BW171" s="16"/>
      <c r="BX171" s="16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72"/>
      <c r="DN171" s="72"/>
      <c r="DO171" s="72"/>
      <c r="DP171" s="72"/>
      <c r="DQ171" s="72"/>
      <c r="DR171" s="72"/>
      <c r="DS171" s="72"/>
      <c r="DT171" s="72"/>
      <c r="DU171" s="72"/>
      <c r="DV171" s="72"/>
      <c r="DW171" s="72"/>
      <c r="DX171" s="72"/>
      <c r="DY171" s="72"/>
      <c r="DZ171" s="72"/>
      <c r="EA171" s="72"/>
      <c r="EB171" s="72"/>
      <c r="EC171" s="72"/>
      <c r="ED171" s="72"/>
      <c r="EE171" s="72"/>
    </row>
    <row r="172" spans="1:135" s="5" customFormat="1" ht="12.75">
      <c r="A172" s="11"/>
      <c r="B172" s="4"/>
      <c r="C172" s="6"/>
      <c r="D172" s="6"/>
      <c r="I172" s="6"/>
      <c r="K172" s="11"/>
      <c r="L172" s="11"/>
      <c r="M172" s="11"/>
      <c r="N172" s="40"/>
      <c r="O172" s="40"/>
      <c r="P172" s="40"/>
      <c r="Q172" s="40"/>
      <c r="R172" s="40"/>
      <c r="S172" s="40"/>
      <c r="T172" s="41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1"/>
      <c r="AX172" s="41"/>
      <c r="AY172" s="40"/>
      <c r="AZ172" s="42"/>
      <c r="BA172" s="42"/>
      <c r="BB172" s="42"/>
      <c r="BC172" s="42"/>
      <c r="BD172" s="42"/>
      <c r="BE172" s="42"/>
      <c r="BF172" s="42"/>
      <c r="BG172" s="42"/>
      <c r="BH172" s="42"/>
      <c r="BI172" s="40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19"/>
      <c r="BV172" s="16"/>
      <c r="BW172" s="16"/>
      <c r="BX172" s="16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72"/>
      <c r="DN172" s="72"/>
      <c r="DO172" s="72"/>
      <c r="DP172" s="72"/>
      <c r="DQ172" s="72"/>
      <c r="DR172" s="72"/>
      <c r="DS172" s="72"/>
      <c r="DT172" s="72"/>
      <c r="DU172" s="72"/>
      <c r="DV172" s="72"/>
      <c r="DW172" s="72"/>
      <c r="DX172" s="72"/>
      <c r="DY172" s="72"/>
      <c r="DZ172" s="72"/>
      <c r="EA172" s="72"/>
      <c r="EB172" s="72"/>
      <c r="EC172" s="72"/>
      <c r="ED172" s="72"/>
      <c r="EE172" s="72"/>
    </row>
    <row r="173" spans="1:135" s="5" customFormat="1" ht="12.75">
      <c r="A173" s="11"/>
      <c r="B173" s="4"/>
      <c r="C173" s="6"/>
      <c r="D173" s="6"/>
      <c r="I173" s="6"/>
      <c r="K173" s="11"/>
      <c r="L173" s="11"/>
      <c r="M173" s="11"/>
      <c r="N173" s="40"/>
      <c r="O173" s="40"/>
      <c r="P173" s="40"/>
      <c r="Q173" s="40"/>
      <c r="R173" s="40"/>
      <c r="S173" s="40"/>
      <c r="T173" s="41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1"/>
      <c r="AX173" s="41"/>
      <c r="AY173" s="40"/>
      <c r="AZ173" s="42"/>
      <c r="BA173" s="42"/>
      <c r="BB173" s="42"/>
      <c r="BC173" s="42"/>
      <c r="BD173" s="42"/>
      <c r="BE173" s="42"/>
      <c r="BF173" s="42"/>
      <c r="BG173" s="42"/>
      <c r="BH173" s="42"/>
      <c r="BI173" s="40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19"/>
      <c r="BV173" s="16"/>
      <c r="BW173" s="16"/>
      <c r="BX173" s="16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72"/>
      <c r="DN173" s="72"/>
      <c r="DO173" s="72"/>
      <c r="DP173" s="72"/>
      <c r="DQ173" s="72"/>
      <c r="DR173" s="72"/>
      <c r="DS173" s="72"/>
      <c r="DT173" s="72"/>
      <c r="DU173" s="72"/>
      <c r="DV173" s="72"/>
      <c r="DW173" s="72"/>
      <c r="DX173" s="72"/>
      <c r="DY173" s="72"/>
      <c r="DZ173" s="72"/>
      <c r="EA173" s="72"/>
      <c r="EB173" s="72"/>
      <c r="EC173" s="72"/>
      <c r="ED173" s="72"/>
      <c r="EE173" s="72"/>
    </row>
    <row r="174" spans="1:135" s="5" customFormat="1" ht="12.75">
      <c r="A174" s="11"/>
      <c r="B174" s="4"/>
      <c r="C174" s="6"/>
      <c r="D174" s="6"/>
      <c r="I174" s="6"/>
      <c r="K174" s="11"/>
      <c r="L174" s="11"/>
      <c r="M174" s="11"/>
      <c r="N174" s="40"/>
      <c r="O174" s="40"/>
      <c r="P174" s="40"/>
      <c r="Q174" s="40"/>
      <c r="R174" s="40"/>
      <c r="S174" s="40"/>
      <c r="T174" s="41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1"/>
      <c r="AX174" s="41"/>
      <c r="AY174" s="40"/>
      <c r="AZ174" s="42"/>
      <c r="BA174" s="42"/>
      <c r="BB174" s="42"/>
      <c r="BC174" s="42"/>
      <c r="BD174" s="42"/>
      <c r="BE174" s="42"/>
      <c r="BF174" s="42"/>
      <c r="BG174" s="42"/>
      <c r="BH174" s="42"/>
      <c r="BI174" s="40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19"/>
      <c r="BV174" s="16"/>
      <c r="BW174" s="16"/>
      <c r="BX174" s="16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72"/>
      <c r="DN174" s="72"/>
      <c r="DO174" s="72"/>
      <c r="DP174" s="72"/>
      <c r="DQ174" s="72"/>
      <c r="DR174" s="72"/>
      <c r="DS174" s="72"/>
      <c r="DT174" s="72"/>
      <c r="DU174" s="72"/>
      <c r="DV174" s="72"/>
      <c r="DW174" s="72"/>
      <c r="DX174" s="72"/>
      <c r="DY174" s="72"/>
      <c r="DZ174" s="72"/>
      <c r="EA174" s="72"/>
      <c r="EB174" s="72"/>
      <c r="EC174" s="72"/>
      <c r="ED174" s="72"/>
      <c r="EE174" s="72"/>
    </row>
  </sheetData>
  <sheetProtection password="CE28" sheet="1" objects="1" formatCells="0" formatColumns="0" formatRows="0" autoFilter="0"/>
  <mergeCells count="14">
    <mergeCell ref="S40:T40"/>
    <mergeCell ref="H4:J4"/>
    <mergeCell ref="B35:C36"/>
    <mergeCell ref="B4:F4"/>
    <mergeCell ref="D6:E6"/>
    <mergeCell ref="M20:N23"/>
    <mergeCell ref="M14:N14"/>
    <mergeCell ref="M15:N15"/>
    <mergeCell ref="M16:N16"/>
    <mergeCell ref="M17:N17"/>
    <mergeCell ref="M13:N13"/>
    <mergeCell ref="M25:N27"/>
    <mergeCell ref="M18:N18"/>
    <mergeCell ref="M4:O4"/>
  </mergeCells>
  <conditionalFormatting sqref="C8">
    <cfRule type="expression" priority="63" dxfId="32" stopIfTrue="1">
      <formula>$R$6=2</formula>
    </cfRule>
  </conditionalFormatting>
  <conditionalFormatting sqref="C9:C11">
    <cfRule type="expression" priority="61" dxfId="33" stopIfTrue="1">
      <formula>$R$6=2</formula>
    </cfRule>
  </conditionalFormatting>
  <conditionalFormatting sqref="I30">
    <cfRule type="cellIs" priority="55" dxfId="0" operator="greaterThan" stopIfTrue="1">
      <formula>$C$28</formula>
    </cfRule>
    <cfRule type="cellIs" priority="56" dxfId="20" operator="lessThan" stopIfTrue="1">
      <formula>$C$28</formula>
    </cfRule>
  </conditionalFormatting>
  <conditionalFormatting sqref="I28 I15">
    <cfRule type="expression" priority="50" dxfId="34" stopIfTrue="1">
      <formula>$Q$29=1</formula>
    </cfRule>
  </conditionalFormatting>
  <conditionalFormatting sqref="C24">
    <cfRule type="expression" priority="41" dxfId="26" stopIfTrue="1">
      <formula>$E$17=1</formula>
    </cfRule>
  </conditionalFormatting>
  <conditionalFormatting sqref="C25">
    <cfRule type="expression" priority="40" dxfId="35" stopIfTrue="1">
      <formula>$E$17=1</formula>
    </cfRule>
  </conditionalFormatting>
  <conditionalFormatting sqref="C23">
    <cfRule type="expression" priority="38" dxfId="22" stopIfTrue="1">
      <formula>$E$17=1</formula>
    </cfRule>
  </conditionalFormatting>
  <conditionalFormatting sqref="I34">
    <cfRule type="expression" priority="37" dxfId="0" stopIfTrue="1">
      <formula>$Q$7="Cable S.C Capacity is Less"</formula>
    </cfRule>
  </conditionalFormatting>
  <conditionalFormatting sqref="C29">
    <cfRule type="expression" priority="36" dxfId="32" stopIfTrue="1">
      <formula>R6=2</formula>
    </cfRule>
  </conditionalFormatting>
  <conditionalFormatting sqref="Q27">
    <cfRule type="iconSet" priority="35" dxfId="36">
      <iconSet iconSet="3TrafficLights2">
        <cfvo type="percent" val="0"/>
        <cfvo type="percent" val="33"/>
        <cfvo type="percent" val="67"/>
      </iconSet>
    </cfRule>
  </conditionalFormatting>
  <conditionalFormatting sqref="Q21">
    <cfRule type="iconSet" priority="34" dxfId="36">
      <iconSet iconSet="3Symbols">
        <cfvo type="percent" val="0"/>
        <cfvo type="percent" val="33"/>
        <cfvo type="percent" val="67"/>
      </iconSet>
    </cfRule>
  </conditionalFormatting>
  <conditionalFormatting sqref="Q23">
    <cfRule type="iconSet" priority="33" dxfId="36">
      <iconSet iconSet="3TrafficLights2">
        <cfvo type="percent" val="0"/>
        <cfvo type="percent" val="33"/>
        <cfvo type="percent" val="67"/>
      </iconSet>
    </cfRule>
  </conditionalFormatting>
  <conditionalFormatting sqref="I35">
    <cfRule type="expression" priority="23" dxfId="21" stopIfTrue="1">
      <formula>($E$35=0)</formula>
    </cfRule>
    <cfRule type="cellIs" priority="28" dxfId="20" operator="lessThan" stopIfTrue="1">
      <formula>$C$29</formula>
    </cfRule>
    <cfRule type="cellIs" priority="29" dxfId="0" operator="greaterThan" stopIfTrue="1">
      <formula>$C$29</formula>
    </cfRule>
  </conditionalFormatting>
  <conditionalFormatting sqref="N7">
    <cfRule type="expression" priority="19" dxfId="37" stopIfTrue="1">
      <formula>$P$7=1</formula>
    </cfRule>
    <cfRule type="expression" priority="20" dxfId="34" stopIfTrue="1">
      <formula>$P$7=0</formula>
    </cfRule>
  </conditionalFormatting>
  <conditionalFormatting sqref="M7">
    <cfRule type="expression" priority="18" dxfId="34" stopIfTrue="1">
      <formula>$P$7=0</formula>
    </cfRule>
  </conditionalFormatting>
  <conditionalFormatting sqref="N8">
    <cfRule type="expression" priority="16" dxfId="34" stopIfTrue="1">
      <formula>$P$8=0</formula>
    </cfRule>
    <cfRule type="expression" priority="17" dxfId="37" stopIfTrue="1">
      <formula>$P$8=1</formula>
    </cfRule>
  </conditionalFormatting>
  <conditionalFormatting sqref="M8">
    <cfRule type="expression" priority="15" dxfId="34" stopIfTrue="1">
      <formula>$P$8=0</formula>
    </cfRule>
  </conditionalFormatting>
  <conditionalFormatting sqref="M9">
    <cfRule type="expression" priority="14" dxfId="34" stopIfTrue="1">
      <formula>$P$9=0</formula>
    </cfRule>
  </conditionalFormatting>
  <conditionalFormatting sqref="N9">
    <cfRule type="expression" priority="12" dxfId="34" stopIfTrue="1">
      <formula>$P$27=2</formula>
    </cfRule>
    <cfRule type="expression" priority="13" dxfId="37" stopIfTrue="1">
      <formula>$P$27=1</formula>
    </cfRule>
  </conditionalFormatting>
  <conditionalFormatting sqref="N10">
    <cfRule type="expression" priority="10" dxfId="37" stopIfTrue="1">
      <formula>$P$10=1</formula>
    </cfRule>
    <cfRule type="expression" priority="11" dxfId="34" stopIfTrue="1">
      <formula>$P$10=0</formula>
    </cfRule>
  </conditionalFormatting>
  <conditionalFormatting sqref="M10">
    <cfRule type="expression" priority="9" dxfId="34" stopIfTrue="1">
      <formula>$P$10=0</formula>
    </cfRule>
  </conditionalFormatting>
  <conditionalFormatting sqref="M20">
    <cfRule type="expression" priority="7" dxfId="34" stopIfTrue="1">
      <formula>$S$8=FALSE</formula>
    </cfRule>
    <cfRule type="expression" priority="8" dxfId="37" stopIfTrue="1">
      <formula>$S$8=TRUE</formula>
    </cfRule>
  </conditionalFormatting>
  <conditionalFormatting sqref="M25:N27">
    <cfRule type="expression" priority="4" dxfId="37" stopIfTrue="1">
      <formula>$P$26=1</formula>
    </cfRule>
    <cfRule type="expression" priority="5" dxfId="34" stopIfTrue="1">
      <formula>$P$26=2</formula>
    </cfRule>
  </conditionalFormatting>
  <conditionalFormatting sqref="N11">
    <cfRule type="expression" priority="2" dxfId="34" stopIfTrue="1">
      <formula>$P$26=2</formula>
    </cfRule>
    <cfRule type="expression" priority="3" dxfId="37" stopIfTrue="1">
      <formula>$P$26=1</formula>
    </cfRule>
  </conditionalFormatting>
  <conditionalFormatting sqref="M11">
    <cfRule type="expression" priority="1" dxfId="34" stopIfTrue="1">
      <formula>$P$26=2</formula>
    </cfRule>
  </conditionalFormatting>
  <dataValidations count="13">
    <dataValidation type="list" allowBlank="1" showInputMessage="1" showErrorMessage="1" sqref="C22">
      <formula1>no</formula1>
    </dataValidation>
    <dataValidation type="list" allowBlank="1" showInputMessage="1" showErrorMessage="1" sqref="C19:C20 C39">
      <formula1>tray</formula1>
    </dataValidation>
    <dataValidation type="list" allowBlank="1" showInputMessage="1" showErrorMessage="1" sqref="C27">
      <formula1>jp</formula1>
    </dataValidation>
    <dataValidation type="list" allowBlank="1" showInputMessage="1" showErrorMessage="1" sqref="D27">
      <formula1>IF(C27=DR51,DN51:DN77,IF(C27=DR52,DO51:DO140,IF(C27=DR53,DO51:DO140,IF(C27=DR57,DQ51:DQ61,DP51:DP76))))</formula1>
    </dataValidation>
    <dataValidation type="list" allowBlank="1" showInputMessage="1" showErrorMessage="1" sqref="E13">
      <formula1>$DM$69:$DM$70</formula1>
    </dataValidation>
    <dataValidation type="list" allowBlank="1" showInputMessage="1" showErrorMessage="1" sqref="C18">
      <formula1>tem</formula1>
    </dataValidation>
    <dataValidation type="list" allowBlank="1" showInputMessage="1" showErrorMessage="1" sqref="E27">
      <formula1>$DM$51:$DM$52</formula1>
    </dataValidation>
    <dataValidation type="list" allowBlank="1" showInputMessage="1" showErrorMessage="1" sqref="C21">
      <formula1>$DR$60:$DR$64</formula1>
    </dataValidation>
    <dataValidation type="list" allowBlank="1" showInputMessage="1" showErrorMessage="1" sqref="C24">
      <formula1>$DR$74:$DR$79</formula1>
    </dataValidation>
    <dataValidation type="list" allowBlank="1" showInputMessage="1" showErrorMessage="1" sqref="C25">
      <formula1>$DR$68:$DR$72</formula1>
    </dataValidation>
    <dataValidation type="list" allowBlank="1" showInputMessage="1" showErrorMessage="1" sqref="C17">
      <formula1>$DM$54:$DM$56</formula1>
    </dataValidation>
    <dataValidation type="list" allowBlank="1" showInputMessage="1" showErrorMessage="1" sqref="C8">
      <formula1>$DR$88:$DR$92</formula1>
    </dataValidation>
    <dataValidation type="list" allowBlank="1" showInputMessage="1" showErrorMessage="1" sqref="C23">
      <formula1>hi</formula1>
    </dataValidation>
  </dataValidations>
  <hyperlinks>
    <hyperlink ref="M2" r:id="rId1" display="jignesh.parmar www.electricalnotes.wordpress.com jiguparmar@yahoo.com"/>
  </hyperlinks>
  <printOptions/>
  <pageMargins left="0.25" right="0.26" top="0.7480314960629921" bottom="0.7480314960629921" header="0.31496062992125984" footer="0.31496062992125984"/>
  <pageSetup fitToHeight="1" fitToWidth="1" horizontalDpi="300" verticalDpi="300" orientation="landscape" paperSize="9" scale="72" r:id="rId4"/>
  <rowBreaks count="1" manualBreakCount="1">
    <brk id="109" max="255" man="1"/>
  </rowBreaks>
  <colBreaks count="1" manualBreakCount="1">
    <brk id="20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5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71875" style="112" customWidth="1"/>
    <col min="2" max="2" width="1.28515625" style="112" customWidth="1"/>
    <col min="3" max="3" width="15.8515625" style="112" customWidth="1"/>
    <col min="4" max="4" width="17.8515625" style="112" customWidth="1"/>
    <col min="5" max="5" width="13.140625" style="112" customWidth="1"/>
    <col min="6" max="6" width="14.28125" style="112" customWidth="1"/>
    <col min="7" max="7" width="14.421875" style="112" customWidth="1"/>
    <col min="8" max="8" width="18.421875" style="112" customWidth="1"/>
    <col min="9" max="13" width="9.140625" style="112" customWidth="1"/>
    <col min="14" max="14" width="9.8515625" style="112" customWidth="1"/>
    <col min="15" max="15" width="7.140625" style="112" customWidth="1"/>
    <col min="16" max="16" width="1.28515625" style="112" customWidth="1"/>
    <col min="17" max="17" width="9.28125" style="112" customWidth="1"/>
    <col min="18" max="16384" width="9.140625" style="112" customWidth="1"/>
  </cols>
  <sheetData>
    <row r="1" spans="1:34" ht="6.75" customHeight="1" thickBo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</row>
    <row r="2" spans="1:34" ht="8.25" customHeight="1" thickBot="1" thickTop="1">
      <c r="A2" s="251"/>
      <c r="B2" s="257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55"/>
      <c r="AE2" s="251"/>
      <c r="AF2" s="251"/>
      <c r="AG2" s="251"/>
      <c r="AH2" s="251"/>
    </row>
    <row r="3" spans="1:34" ht="21.75" customHeight="1" thickBot="1">
      <c r="A3" s="251"/>
      <c r="B3" s="258"/>
      <c r="C3" s="352" t="s">
        <v>549</v>
      </c>
      <c r="D3" s="353"/>
      <c r="E3" s="353"/>
      <c r="F3" s="353"/>
      <c r="G3" s="353"/>
      <c r="H3" s="353"/>
      <c r="I3" s="353"/>
      <c r="J3" s="353"/>
      <c r="K3" s="354"/>
      <c r="L3" s="261"/>
      <c r="M3" s="261"/>
      <c r="N3" s="261"/>
      <c r="O3" s="26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2"/>
      <c r="AE3" s="251"/>
      <c r="AF3" s="251"/>
      <c r="AG3" s="251"/>
      <c r="AH3" s="251"/>
    </row>
    <row r="4" spans="1:34" ht="6.75" customHeight="1" thickBot="1">
      <c r="A4" s="251"/>
      <c r="B4" s="258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2"/>
      <c r="AE4" s="251"/>
      <c r="AF4" s="251"/>
      <c r="AG4" s="251"/>
      <c r="AH4" s="251"/>
    </row>
    <row r="5" spans="1:34" ht="12.75" customHeight="1">
      <c r="A5" s="251"/>
      <c r="B5" s="258"/>
      <c r="C5" s="349" t="s">
        <v>109</v>
      </c>
      <c r="D5" s="350"/>
      <c r="E5" s="350"/>
      <c r="F5" s="350"/>
      <c r="G5" s="350"/>
      <c r="H5" s="3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2"/>
      <c r="AE5" s="251"/>
      <c r="AF5" s="251"/>
      <c r="AG5" s="251"/>
      <c r="AH5" s="251"/>
    </row>
    <row r="6" spans="1:34" ht="45">
      <c r="A6" s="251"/>
      <c r="B6" s="258"/>
      <c r="C6" s="172" t="s">
        <v>71</v>
      </c>
      <c r="D6" s="153" t="s">
        <v>72</v>
      </c>
      <c r="E6" s="154" t="s">
        <v>73</v>
      </c>
      <c r="F6" s="154" t="s">
        <v>137</v>
      </c>
      <c r="G6" s="154" t="s">
        <v>110</v>
      </c>
      <c r="H6" s="173" t="s">
        <v>103</v>
      </c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2"/>
      <c r="AE6" s="251"/>
      <c r="AF6" s="251"/>
      <c r="AG6" s="251"/>
      <c r="AH6" s="251"/>
    </row>
    <row r="7" spans="1:34" ht="12.75">
      <c r="A7" s="251"/>
      <c r="B7" s="258"/>
      <c r="C7" s="248" t="s">
        <v>74</v>
      </c>
      <c r="D7" s="117">
        <v>39</v>
      </c>
      <c r="E7" s="117">
        <v>0</v>
      </c>
      <c r="F7" s="117">
        <v>4</v>
      </c>
      <c r="G7" s="117">
        <v>4</v>
      </c>
      <c r="H7" s="174">
        <v>0.4</v>
      </c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2"/>
      <c r="AE7" s="251"/>
      <c r="AF7" s="251"/>
      <c r="AG7" s="251"/>
      <c r="AH7" s="251"/>
    </row>
    <row r="8" spans="1:34" ht="12.75">
      <c r="A8" s="251"/>
      <c r="B8" s="258"/>
      <c r="C8" s="248" t="s">
        <v>75</v>
      </c>
      <c r="D8" s="117">
        <v>26</v>
      </c>
      <c r="E8" s="117">
        <v>0</v>
      </c>
      <c r="F8" s="117">
        <v>7</v>
      </c>
      <c r="G8" s="117">
        <v>7</v>
      </c>
      <c r="H8" s="174">
        <v>0.4</v>
      </c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2"/>
      <c r="AE8" s="251"/>
      <c r="AF8" s="251"/>
      <c r="AG8" s="251"/>
      <c r="AH8" s="251"/>
    </row>
    <row r="9" spans="1:34" ht="12.75">
      <c r="A9" s="251"/>
      <c r="B9" s="258"/>
      <c r="C9" s="248" t="s">
        <v>76</v>
      </c>
      <c r="D9" s="117">
        <v>19.5</v>
      </c>
      <c r="E9" s="117">
        <v>0</v>
      </c>
      <c r="F9" s="117">
        <v>11</v>
      </c>
      <c r="G9" s="117">
        <v>11</v>
      </c>
      <c r="H9" s="174">
        <v>0.4</v>
      </c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2"/>
      <c r="AE9" s="251"/>
      <c r="AF9" s="251"/>
      <c r="AG9" s="251"/>
      <c r="AH9" s="251"/>
    </row>
    <row r="10" spans="1:34" ht="12.75">
      <c r="A10" s="251"/>
      <c r="B10" s="258"/>
      <c r="C10" s="248" t="s">
        <v>77</v>
      </c>
      <c r="D10" s="117">
        <v>13.3</v>
      </c>
      <c r="E10" s="117">
        <v>0</v>
      </c>
      <c r="F10" s="117">
        <v>15</v>
      </c>
      <c r="G10" s="117">
        <v>15</v>
      </c>
      <c r="H10" s="174">
        <v>0.4</v>
      </c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2"/>
      <c r="AE10" s="251"/>
      <c r="AF10" s="251"/>
      <c r="AG10" s="251"/>
      <c r="AH10" s="251"/>
    </row>
    <row r="11" spans="1:34" ht="12.75">
      <c r="A11" s="251"/>
      <c r="B11" s="258"/>
      <c r="C11" s="248" t="s">
        <v>78</v>
      </c>
      <c r="D11" s="117">
        <v>7.98</v>
      </c>
      <c r="E11" s="117">
        <v>0</v>
      </c>
      <c r="F11" s="117">
        <v>19</v>
      </c>
      <c r="G11" s="117">
        <v>19</v>
      </c>
      <c r="H11" s="174">
        <v>0.4</v>
      </c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2"/>
      <c r="AE11" s="251"/>
      <c r="AF11" s="251"/>
      <c r="AG11" s="251"/>
      <c r="AH11" s="251"/>
    </row>
    <row r="12" spans="1:34" ht="12.75">
      <c r="A12" s="251"/>
      <c r="B12" s="258"/>
      <c r="C12" s="248" t="s">
        <v>79</v>
      </c>
      <c r="D12" s="117">
        <v>4.95</v>
      </c>
      <c r="E12" s="117">
        <v>0</v>
      </c>
      <c r="F12" s="117">
        <v>26</v>
      </c>
      <c r="G12" s="117">
        <v>26</v>
      </c>
      <c r="H12" s="167" t="s">
        <v>148</v>
      </c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2"/>
      <c r="AE12" s="251"/>
      <c r="AF12" s="251"/>
      <c r="AG12" s="251"/>
      <c r="AH12" s="251"/>
    </row>
    <row r="13" spans="1:34" ht="12.75">
      <c r="A13" s="251"/>
      <c r="B13" s="258"/>
      <c r="C13" s="248" t="s">
        <v>80</v>
      </c>
      <c r="D13" s="117">
        <v>3.3</v>
      </c>
      <c r="E13" s="117">
        <v>0</v>
      </c>
      <c r="F13" s="117">
        <v>35</v>
      </c>
      <c r="G13" s="117">
        <v>35</v>
      </c>
      <c r="H13" s="167" t="s">
        <v>158</v>
      </c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2"/>
      <c r="AE13" s="251"/>
      <c r="AF13" s="251"/>
      <c r="AG13" s="251"/>
      <c r="AH13" s="251"/>
    </row>
    <row r="14" spans="1:34" ht="12.75">
      <c r="A14" s="251"/>
      <c r="B14" s="258"/>
      <c r="C14" s="248" t="s">
        <v>81</v>
      </c>
      <c r="D14" s="117">
        <v>1.91</v>
      </c>
      <c r="E14" s="117">
        <v>0</v>
      </c>
      <c r="F14" s="117">
        <v>46</v>
      </c>
      <c r="G14" s="117">
        <v>46</v>
      </c>
      <c r="H14" s="167" t="s">
        <v>168</v>
      </c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2"/>
      <c r="AE14" s="251"/>
      <c r="AF14" s="251"/>
      <c r="AG14" s="251"/>
      <c r="AH14" s="251"/>
    </row>
    <row r="15" spans="1:34" ht="12.75">
      <c r="A15" s="251"/>
      <c r="B15" s="258"/>
      <c r="C15" s="248" t="s">
        <v>82</v>
      </c>
      <c r="D15" s="117">
        <v>1.21</v>
      </c>
      <c r="E15" s="117">
        <v>0</v>
      </c>
      <c r="F15" s="117">
        <v>62</v>
      </c>
      <c r="G15" s="117">
        <v>62</v>
      </c>
      <c r="H15" s="167" t="s">
        <v>181</v>
      </c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2"/>
      <c r="AE15" s="251"/>
      <c r="AF15" s="251"/>
      <c r="AG15" s="251"/>
      <c r="AH15" s="251"/>
    </row>
    <row r="16" spans="1:34" ht="12.75">
      <c r="A16" s="251"/>
      <c r="B16" s="258"/>
      <c r="C16" s="248" t="s">
        <v>83</v>
      </c>
      <c r="D16" s="117">
        <v>0.78</v>
      </c>
      <c r="E16" s="117">
        <v>0</v>
      </c>
      <c r="F16" s="117">
        <v>80</v>
      </c>
      <c r="G16" s="117">
        <v>80</v>
      </c>
      <c r="H16" s="167" t="s">
        <v>192</v>
      </c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2"/>
      <c r="AE16" s="251"/>
      <c r="AF16" s="251"/>
      <c r="AG16" s="251"/>
      <c r="AH16" s="251"/>
    </row>
    <row r="17" spans="1:34" ht="12.75">
      <c r="A17" s="251"/>
      <c r="B17" s="258"/>
      <c r="C17" s="248" t="s">
        <v>84</v>
      </c>
      <c r="D17" s="117">
        <v>0.554</v>
      </c>
      <c r="E17" s="117">
        <v>0</v>
      </c>
      <c r="F17" s="117">
        <v>102</v>
      </c>
      <c r="G17" s="117">
        <v>102</v>
      </c>
      <c r="H17" s="167" t="s">
        <v>204</v>
      </c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2"/>
      <c r="AE17" s="251"/>
      <c r="AF17" s="251"/>
      <c r="AG17" s="251"/>
      <c r="AH17" s="251"/>
    </row>
    <row r="18" spans="1:34" ht="12.75">
      <c r="A18" s="251"/>
      <c r="B18" s="258"/>
      <c r="C18" s="248" t="s">
        <v>85</v>
      </c>
      <c r="D18" s="117">
        <v>0.386</v>
      </c>
      <c r="E18" s="117">
        <v>0</v>
      </c>
      <c r="F18" s="117">
        <v>138</v>
      </c>
      <c r="G18" s="117">
        <v>138</v>
      </c>
      <c r="H18" s="167" t="s">
        <v>216</v>
      </c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2"/>
      <c r="AE18" s="251"/>
      <c r="AF18" s="251"/>
      <c r="AG18" s="251"/>
      <c r="AH18" s="251"/>
    </row>
    <row r="19" spans="1:34" ht="12.75">
      <c r="A19" s="251"/>
      <c r="B19" s="258"/>
      <c r="C19" s="248" t="s">
        <v>86</v>
      </c>
      <c r="D19" s="117">
        <v>0.272</v>
      </c>
      <c r="E19" s="117">
        <v>0</v>
      </c>
      <c r="F19" s="117">
        <v>214</v>
      </c>
      <c r="G19" s="117">
        <v>214</v>
      </c>
      <c r="H19" s="167" t="s">
        <v>226</v>
      </c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2"/>
      <c r="AE19" s="251"/>
      <c r="AF19" s="251"/>
      <c r="AG19" s="251"/>
      <c r="AH19" s="251"/>
    </row>
    <row r="20" spans="1:34" ht="12.75">
      <c r="A20" s="251"/>
      <c r="B20" s="258"/>
      <c r="C20" s="248" t="s">
        <v>87</v>
      </c>
      <c r="D20" s="117">
        <v>0.206</v>
      </c>
      <c r="E20" s="117">
        <v>0</v>
      </c>
      <c r="F20" s="117">
        <v>254</v>
      </c>
      <c r="G20" s="117">
        <v>254</v>
      </c>
      <c r="H20" s="167" t="s">
        <v>237</v>
      </c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2"/>
      <c r="AE20" s="251"/>
      <c r="AF20" s="251"/>
      <c r="AG20" s="251"/>
      <c r="AH20" s="251"/>
    </row>
    <row r="21" spans="1:34" ht="12.75">
      <c r="A21" s="251"/>
      <c r="B21" s="258"/>
      <c r="C21" s="248" t="s">
        <v>88</v>
      </c>
      <c r="D21" s="117">
        <v>0.161</v>
      </c>
      <c r="E21" s="117">
        <v>0</v>
      </c>
      <c r="F21" s="117">
        <v>300</v>
      </c>
      <c r="G21" s="117">
        <v>300</v>
      </c>
      <c r="H21" s="167" t="s">
        <v>249</v>
      </c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2"/>
      <c r="AE21" s="251"/>
      <c r="AF21" s="251"/>
      <c r="AG21" s="251"/>
      <c r="AH21" s="251"/>
    </row>
    <row r="22" spans="1:34" ht="12.75">
      <c r="A22" s="251"/>
      <c r="B22" s="258"/>
      <c r="C22" s="248" t="s">
        <v>89</v>
      </c>
      <c r="D22" s="117">
        <v>39</v>
      </c>
      <c r="E22" s="117">
        <v>0</v>
      </c>
      <c r="F22" s="117">
        <v>4</v>
      </c>
      <c r="G22" s="117">
        <v>4</v>
      </c>
      <c r="H22" s="174">
        <v>0.4</v>
      </c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2"/>
      <c r="AE22" s="251"/>
      <c r="AF22" s="251"/>
      <c r="AG22" s="251"/>
      <c r="AH22" s="251"/>
    </row>
    <row r="23" spans="1:34" ht="12.75">
      <c r="A23" s="251"/>
      <c r="B23" s="258"/>
      <c r="C23" s="248" t="s">
        <v>90</v>
      </c>
      <c r="D23" s="117">
        <v>26</v>
      </c>
      <c r="E23" s="117">
        <v>0</v>
      </c>
      <c r="F23" s="117">
        <v>7</v>
      </c>
      <c r="G23" s="117">
        <v>7</v>
      </c>
      <c r="H23" s="174">
        <v>0.4</v>
      </c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2"/>
      <c r="AE23" s="251"/>
      <c r="AF23" s="251"/>
      <c r="AG23" s="251"/>
      <c r="AH23" s="251"/>
    </row>
    <row r="24" spans="1:34" ht="12.75">
      <c r="A24" s="251"/>
      <c r="B24" s="258"/>
      <c r="C24" s="248" t="s">
        <v>91</v>
      </c>
      <c r="D24" s="117">
        <v>19.5</v>
      </c>
      <c r="E24" s="117">
        <v>0</v>
      </c>
      <c r="F24" s="117">
        <v>11</v>
      </c>
      <c r="G24" s="117">
        <v>11</v>
      </c>
      <c r="H24" s="174">
        <v>0.4</v>
      </c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2"/>
      <c r="AE24" s="251"/>
      <c r="AF24" s="251"/>
      <c r="AG24" s="251"/>
      <c r="AH24" s="251"/>
    </row>
    <row r="25" spans="1:34" ht="12.75">
      <c r="A25" s="251"/>
      <c r="B25" s="258"/>
      <c r="C25" s="248" t="s">
        <v>92</v>
      </c>
      <c r="D25" s="117">
        <v>13.3</v>
      </c>
      <c r="E25" s="117">
        <v>0</v>
      </c>
      <c r="F25" s="117">
        <v>15</v>
      </c>
      <c r="G25" s="117">
        <v>15</v>
      </c>
      <c r="H25" s="174">
        <v>0.5</v>
      </c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2"/>
      <c r="AE25" s="251"/>
      <c r="AF25" s="251"/>
      <c r="AG25" s="251"/>
      <c r="AH25" s="251"/>
    </row>
    <row r="26" spans="1:34" ht="12.75">
      <c r="A26" s="251"/>
      <c r="B26" s="258"/>
      <c r="C26" s="248" t="s">
        <v>93</v>
      </c>
      <c r="D26" s="117">
        <v>7.98</v>
      </c>
      <c r="E26" s="117">
        <v>0</v>
      </c>
      <c r="F26" s="117">
        <v>19</v>
      </c>
      <c r="G26" s="117">
        <v>19</v>
      </c>
      <c r="H26" s="174">
        <v>0.5</v>
      </c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2"/>
      <c r="AE26" s="251"/>
      <c r="AF26" s="251"/>
      <c r="AG26" s="251"/>
      <c r="AH26" s="251"/>
    </row>
    <row r="27" spans="1:34" ht="12.75">
      <c r="A27" s="251"/>
      <c r="B27" s="258"/>
      <c r="C27" s="248" t="s">
        <v>94</v>
      </c>
      <c r="D27" s="117">
        <v>4.95</v>
      </c>
      <c r="E27" s="117">
        <v>0</v>
      </c>
      <c r="F27" s="117">
        <v>26</v>
      </c>
      <c r="G27" s="117">
        <v>26</v>
      </c>
      <c r="H27" s="174">
        <v>0.5</v>
      </c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2"/>
      <c r="AE27" s="251"/>
      <c r="AF27" s="251"/>
      <c r="AG27" s="251"/>
      <c r="AH27" s="251"/>
    </row>
    <row r="28" spans="1:34" ht="12.75">
      <c r="A28" s="251"/>
      <c r="B28" s="258"/>
      <c r="C28" s="248" t="s">
        <v>95</v>
      </c>
      <c r="D28" s="117">
        <v>39</v>
      </c>
      <c r="E28" s="117">
        <v>0</v>
      </c>
      <c r="F28" s="117">
        <v>4</v>
      </c>
      <c r="G28" s="117">
        <v>4</v>
      </c>
      <c r="H28" s="174">
        <v>0.4</v>
      </c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2"/>
      <c r="AE28" s="251"/>
      <c r="AF28" s="251"/>
      <c r="AG28" s="251"/>
      <c r="AH28" s="251"/>
    </row>
    <row r="29" spans="1:34" ht="12.75">
      <c r="A29" s="251"/>
      <c r="B29" s="258"/>
      <c r="C29" s="248" t="s">
        <v>96</v>
      </c>
      <c r="D29" s="117">
        <v>26</v>
      </c>
      <c r="E29" s="117">
        <v>0</v>
      </c>
      <c r="F29" s="117">
        <v>7</v>
      </c>
      <c r="G29" s="117">
        <v>7</v>
      </c>
      <c r="H29" s="174">
        <v>0.5</v>
      </c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2"/>
      <c r="AE29" s="251"/>
      <c r="AF29" s="251"/>
      <c r="AG29" s="251"/>
      <c r="AH29" s="251"/>
    </row>
    <row r="30" spans="1:34" ht="12.75">
      <c r="A30" s="251"/>
      <c r="B30" s="258"/>
      <c r="C30" s="248" t="s">
        <v>97</v>
      </c>
      <c r="D30" s="117">
        <v>19.5</v>
      </c>
      <c r="E30" s="117">
        <v>0</v>
      </c>
      <c r="F30" s="117">
        <v>11</v>
      </c>
      <c r="G30" s="117">
        <v>11</v>
      </c>
      <c r="H30" s="174">
        <v>0.4</v>
      </c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2"/>
      <c r="AE30" s="251"/>
      <c r="AF30" s="251"/>
      <c r="AG30" s="251"/>
      <c r="AH30" s="251"/>
    </row>
    <row r="31" spans="1:34" ht="12.75">
      <c r="A31" s="251"/>
      <c r="B31" s="258"/>
      <c r="C31" s="248" t="s">
        <v>98</v>
      </c>
      <c r="D31" s="117">
        <v>13.3</v>
      </c>
      <c r="E31" s="117">
        <v>0</v>
      </c>
      <c r="F31" s="117">
        <v>15</v>
      </c>
      <c r="G31" s="117">
        <v>15</v>
      </c>
      <c r="H31" s="174">
        <v>0.5</v>
      </c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2"/>
      <c r="AE31" s="251"/>
      <c r="AF31" s="251"/>
      <c r="AG31" s="251"/>
      <c r="AH31" s="251"/>
    </row>
    <row r="32" spans="1:34" ht="12.75">
      <c r="A32" s="251"/>
      <c r="B32" s="258"/>
      <c r="C32" s="248" t="s">
        <v>99</v>
      </c>
      <c r="D32" s="117">
        <v>7.98</v>
      </c>
      <c r="E32" s="117">
        <v>0</v>
      </c>
      <c r="F32" s="117">
        <v>19</v>
      </c>
      <c r="G32" s="117">
        <v>19</v>
      </c>
      <c r="H32" s="174">
        <v>0.5</v>
      </c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2"/>
      <c r="AE32" s="251"/>
      <c r="AF32" s="251"/>
      <c r="AG32" s="251"/>
      <c r="AH32" s="251"/>
    </row>
    <row r="33" spans="1:34" ht="13.5" thickBot="1">
      <c r="A33" s="251"/>
      <c r="B33" s="258"/>
      <c r="C33" s="249" t="s">
        <v>100</v>
      </c>
      <c r="D33" s="175">
        <v>4.95</v>
      </c>
      <c r="E33" s="175">
        <v>0</v>
      </c>
      <c r="F33" s="175">
        <v>26</v>
      </c>
      <c r="G33" s="175">
        <v>26</v>
      </c>
      <c r="H33" s="176">
        <v>0.5</v>
      </c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2"/>
      <c r="AE33" s="251"/>
      <c r="AF33" s="251"/>
      <c r="AG33" s="251"/>
      <c r="AH33" s="251"/>
    </row>
    <row r="34" spans="1:34" ht="13.5" thickBot="1">
      <c r="A34" s="251"/>
      <c r="B34" s="258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2"/>
      <c r="AE34" s="251"/>
      <c r="AF34" s="251"/>
      <c r="AG34" s="251"/>
      <c r="AH34" s="251"/>
    </row>
    <row r="35" spans="1:34" ht="12.75" customHeight="1">
      <c r="A35" s="251"/>
      <c r="B35" s="258"/>
      <c r="C35" s="337" t="s">
        <v>112</v>
      </c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9"/>
      <c r="P35" s="251"/>
      <c r="Q35" s="340" t="s">
        <v>113</v>
      </c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2"/>
      <c r="AD35" s="252"/>
      <c r="AE35" s="251"/>
      <c r="AF35" s="251"/>
      <c r="AG35" s="251"/>
      <c r="AH35" s="251"/>
    </row>
    <row r="36" spans="1:34" ht="45" customHeight="1">
      <c r="A36" s="251"/>
      <c r="B36" s="258"/>
      <c r="C36" s="334" t="s">
        <v>71</v>
      </c>
      <c r="D36" s="344" t="s">
        <v>101</v>
      </c>
      <c r="E36" s="344"/>
      <c r="F36" s="344" t="s">
        <v>102</v>
      </c>
      <c r="G36" s="344"/>
      <c r="H36" s="348" t="s">
        <v>111</v>
      </c>
      <c r="I36" s="348"/>
      <c r="J36" s="348"/>
      <c r="K36" s="348" t="s">
        <v>102</v>
      </c>
      <c r="L36" s="348"/>
      <c r="M36" s="348"/>
      <c r="N36" s="344" t="s">
        <v>103</v>
      </c>
      <c r="O36" s="343"/>
      <c r="P36" s="251"/>
      <c r="Q36" s="335" t="s">
        <v>71</v>
      </c>
      <c r="R36" s="344" t="s">
        <v>101</v>
      </c>
      <c r="S36" s="344"/>
      <c r="T36" s="344" t="s">
        <v>102</v>
      </c>
      <c r="U36" s="344"/>
      <c r="V36" s="348" t="s">
        <v>111</v>
      </c>
      <c r="W36" s="348"/>
      <c r="X36" s="348"/>
      <c r="Y36" s="348" t="s">
        <v>102</v>
      </c>
      <c r="Z36" s="348"/>
      <c r="AA36" s="348"/>
      <c r="AB36" s="344" t="s">
        <v>103</v>
      </c>
      <c r="AC36" s="343"/>
      <c r="AD36" s="252"/>
      <c r="AE36" s="251"/>
      <c r="AF36" s="251"/>
      <c r="AG36" s="251"/>
      <c r="AH36" s="251"/>
    </row>
    <row r="37" spans="1:34" ht="12.75">
      <c r="A37" s="251"/>
      <c r="B37" s="258"/>
      <c r="C37" s="335"/>
      <c r="D37" s="155" t="s">
        <v>104</v>
      </c>
      <c r="E37" s="155" t="s">
        <v>105</v>
      </c>
      <c r="F37" s="155" t="s">
        <v>104</v>
      </c>
      <c r="G37" s="155" t="s">
        <v>105</v>
      </c>
      <c r="H37" s="156" t="s">
        <v>51</v>
      </c>
      <c r="I37" s="156" t="s">
        <v>106</v>
      </c>
      <c r="J37" s="156" t="s">
        <v>50</v>
      </c>
      <c r="K37" s="156" t="s">
        <v>51</v>
      </c>
      <c r="L37" s="156" t="s">
        <v>106</v>
      </c>
      <c r="M37" s="156" t="s">
        <v>50</v>
      </c>
      <c r="N37" s="344" t="s">
        <v>101</v>
      </c>
      <c r="O37" s="343" t="s">
        <v>102</v>
      </c>
      <c r="P37" s="251"/>
      <c r="Q37" s="335"/>
      <c r="R37" s="155" t="s">
        <v>104</v>
      </c>
      <c r="S37" s="155" t="s">
        <v>105</v>
      </c>
      <c r="T37" s="155" t="s">
        <v>104</v>
      </c>
      <c r="U37" s="155" t="s">
        <v>105</v>
      </c>
      <c r="V37" s="156" t="s">
        <v>51</v>
      </c>
      <c r="W37" s="156" t="s">
        <v>106</v>
      </c>
      <c r="X37" s="156" t="s">
        <v>50</v>
      </c>
      <c r="Y37" s="156" t="s">
        <v>51</v>
      </c>
      <c r="Z37" s="156" t="s">
        <v>106</v>
      </c>
      <c r="AA37" s="156" t="s">
        <v>50</v>
      </c>
      <c r="AB37" s="344" t="s">
        <v>101</v>
      </c>
      <c r="AC37" s="343" t="s">
        <v>102</v>
      </c>
      <c r="AD37" s="252"/>
      <c r="AE37" s="251"/>
      <c r="AF37" s="251"/>
      <c r="AG37" s="251"/>
      <c r="AH37" s="251"/>
    </row>
    <row r="38" spans="1:34" ht="12.75">
      <c r="A38" s="251"/>
      <c r="B38" s="258"/>
      <c r="C38" s="336"/>
      <c r="D38" s="156" t="s">
        <v>107</v>
      </c>
      <c r="E38" s="156" t="s">
        <v>107</v>
      </c>
      <c r="F38" s="156" t="s">
        <v>107</v>
      </c>
      <c r="G38" s="156" t="s">
        <v>107</v>
      </c>
      <c r="H38" s="156" t="s">
        <v>0</v>
      </c>
      <c r="I38" s="156" t="s">
        <v>0</v>
      </c>
      <c r="J38" s="156" t="s">
        <v>0</v>
      </c>
      <c r="K38" s="156" t="s">
        <v>0</v>
      </c>
      <c r="L38" s="156" t="s">
        <v>0</v>
      </c>
      <c r="M38" s="156" t="s">
        <v>0</v>
      </c>
      <c r="N38" s="344"/>
      <c r="O38" s="343"/>
      <c r="P38" s="251"/>
      <c r="Q38" s="336"/>
      <c r="R38" s="156" t="s">
        <v>107</v>
      </c>
      <c r="S38" s="156" t="s">
        <v>107</v>
      </c>
      <c r="T38" s="156" t="s">
        <v>107</v>
      </c>
      <c r="U38" s="156" t="s">
        <v>107</v>
      </c>
      <c r="V38" s="156" t="s">
        <v>0</v>
      </c>
      <c r="W38" s="156" t="s">
        <v>0</v>
      </c>
      <c r="X38" s="156" t="s">
        <v>0</v>
      </c>
      <c r="Y38" s="156" t="s">
        <v>0</v>
      </c>
      <c r="Z38" s="156" t="s">
        <v>0</v>
      </c>
      <c r="AA38" s="156" t="s">
        <v>0</v>
      </c>
      <c r="AB38" s="344"/>
      <c r="AC38" s="343"/>
      <c r="AD38" s="252"/>
      <c r="AE38" s="251"/>
      <c r="AF38" s="251"/>
      <c r="AG38" s="251"/>
      <c r="AH38" s="251"/>
    </row>
    <row r="39" spans="1:34" ht="12.75">
      <c r="A39" s="251"/>
      <c r="B39" s="258"/>
      <c r="C39" s="248" t="s">
        <v>79</v>
      </c>
      <c r="D39" s="121">
        <v>8.8</v>
      </c>
      <c r="E39" s="121">
        <v>0.158</v>
      </c>
      <c r="F39" s="121">
        <v>5.52</v>
      </c>
      <c r="G39" s="121">
        <v>0.0158</v>
      </c>
      <c r="H39" s="121" t="s">
        <v>143</v>
      </c>
      <c r="I39" s="121" t="s">
        <v>143</v>
      </c>
      <c r="J39" s="121" t="s">
        <v>143</v>
      </c>
      <c r="K39" s="121" t="s">
        <v>144</v>
      </c>
      <c r="L39" s="121" t="s">
        <v>145</v>
      </c>
      <c r="M39" s="121" t="s">
        <v>146</v>
      </c>
      <c r="N39" s="121" t="s">
        <v>147</v>
      </c>
      <c r="O39" s="167" t="s">
        <v>148</v>
      </c>
      <c r="P39" s="251"/>
      <c r="Q39" s="162" t="str">
        <f>C39</f>
        <v>1cX4</v>
      </c>
      <c r="R39" s="121">
        <v>1.555</v>
      </c>
      <c r="S39" s="121">
        <v>0.102</v>
      </c>
      <c r="T39" s="121">
        <v>1.555</v>
      </c>
      <c r="U39" s="121">
        <v>0.102</v>
      </c>
      <c r="V39" s="121" t="s">
        <v>143</v>
      </c>
      <c r="W39" s="121" t="s">
        <v>143</v>
      </c>
      <c r="X39" s="121" t="s">
        <v>143</v>
      </c>
      <c r="Y39" s="121" t="s">
        <v>149</v>
      </c>
      <c r="Z39" s="121" t="s">
        <v>150</v>
      </c>
      <c r="AA39" s="121" t="s">
        <v>151</v>
      </c>
      <c r="AB39" s="121" t="s">
        <v>152</v>
      </c>
      <c r="AC39" s="167" t="s">
        <v>153</v>
      </c>
      <c r="AD39" s="252"/>
      <c r="AE39" s="251"/>
      <c r="AF39" s="251"/>
      <c r="AG39" s="251"/>
      <c r="AH39" s="251"/>
    </row>
    <row r="40" spans="1:34" ht="12.75">
      <c r="A40" s="251"/>
      <c r="B40" s="258"/>
      <c r="C40" s="248" t="s">
        <v>80</v>
      </c>
      <c r="D40" s="121">
        <v>5.53</v>
      </c>
      <c r="E40" s="121">
        <v>0.148</v>
      </c>
      <c r="F40" s="121">
        <v>3.69</v>
      </c>
      <c r="G40" s="121">
        <v>0.148</v>
      </c>
      <c r="H40" s="121" t="s">
        <v>144</v>
      </c>
      <c r="I40" s="121" t="s">
        <v>154</v>
      </c>
      <c r="J40" s="121" t="s">
        <v>146</v>
      </c>
      <c r="K40" s="121" t="s">
        <v>155</v>
      </c>
      <c r="L40" s="121" t="s">
        <v>149</v>
      </c>
      <c r="M40" s="121" t="s">
        <v>156</v>
      </c>
      <c r="N40" s="121" t="s">
        <v>157</v>
      </c>
      <c r="O40" s="167" t="s">
        <v>158</v>
      </c>
      <c r="P40" s="251"/>
      <c r="Q40" s="162" t="str">
        <f aca="true" t="shared" si="0" ref="Q40:Q103">C40</f>
        <v>1cX6</v>
      </c>
      <c r="R40" s="121">
        <v>1.553</v>
      </c>
      <c r="S40" s="121">
        <v>0.102</v>
      </c>
      <c r="T40" s="121">
        <v>1.553</v>
      </c>
      <c r="U40" s="121">
        <v>0.102</v>
      </c>
      <c r="V40" s="121" t="s">
        <v>149</v>
      </c>
      <c r="W40" s="121" t="s">
        <v>151</v>
      </c>
      <c r="X40" s="121" t="s">
        <v>151</v>
      </c>
      <c r="Y40" s="121" t="s">
        <v>159</v>
      </c>
      <c r="Z40" s="121" t="s">
        <v>160</v>
      </c>
      <c r="AA40" s="121" t="s">
        <v>161</v>
      </c>
      <c r="AB40" s="121" t="s">
        <v>162</v>
      </c>
      <c r="AC40" s="167" t="s">
        <v>163</v>
      </c>
      <c r="AD40" s="252"/>
      <c r="AE40" s="251"/>
      <c r="AF40" s="251"/>
      <c r="AG40" s="251"/>
      <c r="AH40" s="251"/>
    </row>
    <row r="41" spans="1:34" ht="12.75">
      <c r="A41" s="251"/>
      <c r="B41" s="258"/>
      <c r="C41" s="248" t="s">
        <v>81</v>
      </c>
      <c r="D41" s="121">
        <v>3.7</v>
      </c>
      <c r="E41" s="121">
        <v>0.138</v>
      </c>
      <c r="F41" s="121">
        <v>2.19</v>
      </c>
      <c r="G41" s="121">
        <v>0.138</v>
      </c>
      <c r="H41" s="121" t="s">
        <v>164</v>
      </c>
      <c r="I41" s="121" t="s">
        <v>164</v>
      </c>
      <c r="J41" s="121" t="s">
        <v>150</v>
      </c>
      <c r="K41" s="121" t="s">
        <v>165</v>
      </c>
      <c r="L41" s="121" t="s">
        <v>166</v>
      </c>
      <c r="M41" s="121" t="s">
        <v>159</v>
      </c>
      <c r="N41" s="121" t="s">
        <v>167</v>
      </c>
      <c r="O41" s="167" t="s">
        <v>168</v>
      </c>
      <c r="P41" s="251"/>
      <c r="Q41" s="162" t="str">
        <f t="shared" si="0"/>
        <v>1cX10</v>
      </c>
      <c r="R41" s="121">
        <v>1.553</v>
      </c>
      <c r="S41" s="121">
        <v>0.102</v>
      </c>
      <c r="T41" s="121">
        <v>1.553</v>
      </c>
      <c r="U41" s="121">
        <v>0.102</v>
      </c>
      <c r="V41" s="121" t="s">
        <v>169</v>
      </c>
      <c r="W41" s="121" t="s">
        <v>169</v>
      </c>
      <c r="X41" s="121" t="s">
        <v>170</v>
      </c>
      <c r="Y41" s="121" t="s">
        <v>171</v>
      </c>
      <c r="Z41" s="121" t="s">
        <v>172</v>
      </c>
      <c r="AA41" s="121" t="s">
        <v>173</v>
      </c>
      <c r="AB41" s="121" t="s">
        <v>174</v>
      </c>
      <c r="AC41" s="167" t="s">
        <v>175</v>
      </c>
      <c r="AD41" s="252"/>
      <c r="AE41" s="251"/>
      <c r="AF41" s="251"/>
      <c r="AG41" s="251"/>
      <c r="AH41" s="251"/>
    </row>
    <row r="42" spans="1:34" ht="12.75">
      <c r="A42" s="251"/>
      <c r="B42" s="258"/>
      <c r="C42" s="248" t="s">
        <v>82</v>
      </c>
      <c r="D42" s="121">
        <v>2.29</v>
      </c>
      <c r="E42" s="121">
        <v>0.128</v>
      </c>
      <c r="F42" s="121">
        <v>1.38</v>
      </c>
      <c r="G42" s="121">
        <v>0.128</v>
      </c>
      <c r="H42" s="121" t="s">
        <v>176</v>
      </c>
      <c r="I42" s="121" t="s">
        <v>165</v>
      </c>
      <c r="J42" s="121" t="s">
        <v>166</v>
      </c>
      <c r="K42" s="121" t="s">
        <v>177</v>
      </c>
      <c r="L42" s="121" t="s">
        <v>178</v>
      </c>
      <c r="M42" s="121" t="s">
        <v>179</v>
      </c>
      <c r="N42" s="121" t="s">
        <v>180</v>
      </c>
      <c r="O42" s="167" t="s">
        <v>181</v>
      </c>
      <c r="P42" s="251"/>
      <c r="Q42" s="162" t="str">
        <f t="shared" si="0"/>
        <v>1cX16</v>
      </c>
      <c r="R42" s="121">
        <v>1.54</v>
      </c>
      <c r="S42" s="121">
        <v>0.102</v>
      </c>
      <c r="T42" s="121">
        <v>1.54</v>
      </c>
      <c r="U42" s="121">
        <v>0.102</v>
      </c>
      <c r="V42" s="121" t="s">
        <v>182</v>
      </c>
      <c r="W42" s="121" t="s">
        <v>171</v>
      </c>
      <c r="X42" s="121" t="s">
        <v>178</v>
      </c>
      <c r="Y42" s="121" t="s">
        <v>183</v>
      </c>
      <c r="Z42" s="121" t="s">
        <v>184</v>
      </c>
      <c r="AA42" s="121" t="s">
        <v>185</v>
      </c>
      <c r="AB42" s="121" t="s">
        <v>186</v>
      </c>
      <c r="AC42" s="167" t="s">
        <v>187</v>
      </c>
      <c r="AD42" s="252"/>
      <c r="AE42" s="251"/>
      <c r="AF42" s="251"/>
      <c r="AG42" s="251"/>
      <c r="AH42" s="251"/>
    </row>
    <row r="43" spans="1:34" ht="12.75">
      <c r="A43" s="251"/>
      <c r="B43" s="258"/>
      <c r="C43" s="248" t="s">
        <v>83</v>
      </c>
      <c r="D43" s="121">
        <v>1.44</v>
      </c>
      <c r="E43" s="121">
        <v>0.12</v>
      </c>
      <c r="F43" s="121">
        <v>0.87</v>
      </c>
      <c r="G43" s="121">
        <v>0.12</v>
      </c>
      <c r="H43" s="121" t="s">
        <v>188</v>
      </c>
      <c r="I43" s="121" t="s">
        <v>189</v>
      </c>
      <c r="J43" s="121" t="s">
        <v>189</v>
      </c>
      <c r="K43" s="121" t="s">
        <v>190</v>
      </c>
      <c r="L43" s="121" t="s">
        <v>190</v>
      </c>
      <c r="M43" s="121" t="s">
        <v>190</v>
      </c>
      <c r="N43" s="121" t="s">
        <v>191</v>
      </c>
      <c r="O43" s="167" t="s">
        <v>192</v>
      </c>
      <c r="P43" s="251"/>
      <c r="Q43" s="162" t="str">
        <f t="shared" si="0"/>
        <v>1cX25</v>
      </c>
      <c r="R43" s="121">
        <v>1.54</v>
      </c>
      <c r="S43" s="121">
        <v>0.102</v>
      </c>
      <c r="T43" s="121">
        <v>0.93</v>
      </c>
      <c r="U43" s="121">
        <v>0.102</v>
      </c>
      <c r="V43" s="121" t="s">
        <v>193</v>
      </c>
      <c r="W43" s="121" t="s">
        <v>194</v>
      </c>
      <c r="X43" s="121" t="s">
        <v>195</v>
      </c>
      <c r="Y43" s="121" t="s">
        <v>196</v>
      </c>
      <c r="Z43" s="121" t="s">
        <v>195</v>
      </c>
      <c r="AA43" s="121" t="s">
        <v>197</v>
      </c>
      <c r="AB43" s="121" t="s">
        <v>198</v>
      </c>
      <c r="AC43" s="167" t="s">
        <v>199</v>
      </c>
      <c r="AD43" s="252"/>
      <c r="AE43" s="251"/>
      <c r="AF43" s="251"/>
      <c r="AG43" s="251"/>
      <c r="AH43" s="251"/>
    </row>
    <row r="44" spans="1:34" ht="12.75">
      <c r="A44" s="251"/>
      <c r="B44" s="258"/>
      <c r="C44" s="248" t="s">
        <v>84</v>
      </c>
      <c r="D44" s="121">
        <v>1.04</v>
      </c>
      <c r="E44" s="121">
        <v>0.114</v>
      </c>
      <c r="F44" s="121">
        <v>0.627</v>
      </c>
      <c r="G44" s="121">
        <v>0.114</v>
      </c>
      <c r="H44" s="121" t="s">
        <v>200</v>
      </c>
      <c r="I44" s="121" t="s">
        <v>200</v>
      </c>
      <c r="J44" s="121" t="s">
        <v>201</v>
      </c>
      <c r="K44" s="121" t="s">
        <v>196</v>
      </c>
      <c r="L44" s="121" t="s">
        <v>202</v>
      </c>
      <c r="M44" s="121" t="s">
        <v>196</v>
      </c>
      <c r="N44" s="121" t="s">
        <v>203</v>
      </c>
      <c r="O44" s="167" t="s">
        <v>204</v>
      </c>
      <c r="P44" s="251"/>
      <c r="Q44" s="162" t="str">
        <f t="shared" si="0"/>
        <v>1cX35</v>
      </c>
      <c r="R44" s="121">
        <v>1.11</v>
      </c>
      <c r="S44" s="121">
        <v>0.097</v>
      </c>
      <c r="T44" s="121">
        <v>0.671</v>
      </c>
      <c r="U44" s="121">
        <v>0.097</v>
      </c>
      <c r="V44" s="121" t="s">
        <v>205</v>
      </c>
      <c r="W44" s="121" t="s">
        <v>190</v>
      </c>
      <c r="X44" s="121" t="s">
        <v>206</v>
      </c>
      <c r="Y44" s="121" t="s">
        <v>207</v>
      </c>
      <c r="Z44" s="121" t="s">
        <v>208</v>
      </c>
      <c r="AA44" s="121" t="s">
        <v>209</v>
      </c>
      <c r="AB44" s="121" t="s">
        <v>210</v>
      </c>
      <c r="AC44" s="167" t="s">
        <v>211</v>
      </c>
      <c r="AD44" s="252"/>
      <c r="AE44" s="251"/>
      <c r="AF44" s="251"/>
      <c r="AG44" s="251"/>
      <c r="AH44" s="251"/>
    </row>
    <row r="45" spans="1:34" ht="12.75">
      <c r="A45" s="251"/>
      <c r="B45" s="258"/>
      <c r="C45" s="248" t="s">
        <v>85</v>
      </c>
      <c r="D45" s="121">
        <v>0.77</v>
      </c>
      <c r="E45" s="121">
        <v>0.11</v>
      </c>
      <c r="F45" s="121">
        <v>0.463</v>
      </c>
      <c r="G45" s="121">
        <v>0.11</v>
      </c>
      <c r="H45" s="121" t="s">
        <v>212</v>
      </c>
      <c r="I45" s="121" t="s">
        <v>195</v>
      </c>
      <c r="J45" s="121" t="s">
        <v>196</v>
      </c>
      <c r="K45" s="121" t="s">
        <v>207</v>
      </c>
      <c r="L45" s="121" t="s">
        <v>213</v>
      </c>
      <c r="M45" s="121" t="s">
        <v>214</v>
      </c>
      <c r="N45" s="121" t="s">
        <v>215</v>
      </c>
      <c r="O45" s="167" t="s">
        <v>216</v>
      </c>
      <c r="P45" s="251"/>
      <c r="Q45" s="162" t="str">
        <f t="shared" si="0"/>
        <v>1cX50</v>
      </c>
      <c r="R45" s="121">
        <v>0.82</v>
      </c>
      <c r="S45" s="121">
        <v>0.092</v>
      </c>
      <c r="T45" s="121">
        <v>0.495</v>
      </c>
      <c r="U45" s="121">
        <v>0.092</v>
      </c>
      <c r="V45" s="121" t="s">
        <v>217</v>
      </c>
      <c r="W45" s="121" t="s">
        <v>202</v>
      </c>
      <c r="X45" s="121" t="s">
        <v>218</v>
      </c>
      <c r="Y45" s="121" t="s">
        <v>219</v>
      </c>
      <c r="Z45" s="121" t="s">
        <v>214</v>
      </c>
      <c r="AA45" s="121" t="s">
        <v>220</v>
      </c>
      <c r="AB45" s="121" t="s">
        <v>221</v>
      </c>
      <c r="AC45" s="167" t="s">
        <v>222</v>
      </c>
      <c r="AD45" s="252"/>
      <c r="AE45" s="251"/>
      <c r="AF45" s="251"/>
      <c r="AG45" s="251"/>
      <c r="AH45" s="251"/>
    </row>
    <row r="46" spans="1:34" ht="12.75">
      <c r="A46" s="251"/>
      <c r="B46" s="258"/>
      <c r="C46" s="248" t="s">
        <v>86</v>
      </c>
      <c r="D46" s="121">
        <v>0.53</v>
      </c>
      <c r="E46" s="121">
        <v>0.103</v>
      </c>
      <c r="F46" s="121">
        <v>0.321</v>
      </c>
      <c r="G46" s="121">
        <v>0.103</v>
      </c>
      <c r="H46" s="121" t="s">
        <v>208</v>
      </c>
      <c r="I46" s="121" t="s">
        <v>206</v>
      </c>
      <c r="J46" s="121" t="s">
        <v>207</v>
      </c>
      <c r="K46" s="121" t="s">
        <v>223</v>
      </c>
      <c r="L46" s="121" t="s">
        <v>209</v>
      </c>
      <c r="M46" s="121" t="s">
        <v>224</v>
      </c>
      <c r="N46" s="121" t="s">
        <v>225</v>
      </c>
      <c r="O46" s="167" t="s">
        <v>226</v>
      </c>
      <c r="P46" s="251"/>
      <c r="Q46" s="162" t="str">
        <f t="shared" si="0"/>
        <v>1cX70</v>
      </c>
      <c r="R46" s="121">
        <v>0.56</v>
      </c>
      <c r="S46" s="121">
        <v>0.088</v>
      </c>
      <c r="T46" s="121">
        <v>0.343</v>
      </c>
      <c r="U46" s="121">
        <v>0.088</v>
      </c>
      <c r="V46" s="121" t="s">
        <v>227</v>
      </c>
      <c r="W46" s="121" t="s">
        <v>207</v>
      </c>
      <c r="X46" s="121" t="s">
        <v>228</v>
      </c>
      <c r="Y46" s="121" t="s">
        <v>229</v>
      </c>
      <c r="Z46" s="121" t="s">
        <v>230</v>
      </c>
      <c r="AA46" s="121" t="s">
        <v>231</v>
      </c>
      <c r="AB46" s="121" t="s">
        <v>232</v>
      </c>
      <c r="AC46" s="167" t="s">
        <v>233</v>
      </c>
      <c r="AD46" s="252"/>
      <c r="AE46" s="251"/>
      <c r="AF46" s="251"/>
      <c r="AG46" s="251"/>
      <c r="AH46" s="251"/>
    </row>
    <row r="47" spans="1:34" ht="12.75">
      <c r="A47" s="251"/>
      <c r="B47" s="258"/>
      <c r="C47" s="248" t="s">
        <v>87</v>
      </c>
      <c r="D47" s="121">
        <v>0.38</v>
      </c>
      <c r="E47" s="121">
        <v>0.101</v>
      </c>
      <c r="F47" s="121">
        <v>0.231</v>
      </c>
      <c r="G47" s="121">
        <v>0.101</v>
      </c>
      <c r="H47" s="121" t="s">
        <v>209</v>
      </c>
      <c r="I47" s="121" t="s">
        <v>207</v>
      </c>
      <c r="J47" s="121" t="s">
        <v>223</v>
      </c>
      <c r="K47" s="121" t="s">
        <v>234</v>
      </c>
      <c r="L47" s="121" t="s">
        <v>230</v>
      </c>
      <c r="M47" s="121" t="s">
        <v>235</v>
      </c>
      <c r="N47" s="121" t="s">
        <v>236</v>
      </c>
      <c r="O47" s="167" t="s">
        <v>237</v>
      </c>
      <c r="P47" s="251"/>
      <c r="Q47" s="162" t="str">
        <f t="shared" si="0"/>
        <v>1cX95</v>
      </c>
      <c r="R47" s="121">
        <v>0.41</v>
      </c>
      <c r="S47" s="121">
        <v>0.085</v>
      </c>
      <c r="T47" s="121">
        <v>0.247</v>
      </c>
      <c r="U47" s="121">
        <v>0.085</v>
      </c>
      <c r="V47" s="121" t="s">
        <v>238</v>
      </c>
      <c r="W47" s="121" t="s">
        <v>219</v>
      </c>
      <c r="X47" s="121" t="s">
        <v>239</v>
      </c>
      <c r="Y47" s="121" t="s">
        <v>240</v>
      </c>
      <c r="Z47" s="121" t="s">
        <v>241</v>
      </c>
      <c r="AA47" s="121" t="s">
        <v>242</v>
      </c>
      <c r="AB47" s="121" t="s">
        <v>243</v>
      </c>
      <c r="AC47" s="167" t="s">
        <v>244</v>
      </c>
      <c r="AD47" s="252"/>
      <c r="AE47" s="251"/>
      <c r="AF47" s="251"/>
      <c r="AG47" s="251"/>
      <c r="AH47" s="251"/>
    </row>
    <row r="48" spans="1:34" ht="12.75">
      <c r="A48" s="251"/>
      <c r="B48" s="258"/>
      <c r="C48" s="248" t="s">
        <v>88</v>
      </c>
      <c r="D48" s="121">
        <v>0.3</v>
      </c>
      <c r="E48" s="121">
        <v>0.096</v>
      </c>
      <c r="F48" s="121">
        <v>0.184</v>
      </c>
      <c r="G48" s="121">
        <v>0.096</v>
      </c>
      <c r="H48" s="121" t="s">
        <v>245</v>
      </c>
      <c r="I48" s="121" t="s">
        <v>218</v>
      </c>
      <c r="J48" s="121" t="s">
        <v>234</v>
      </c>
      <c r="K48" s="121" t="s">
        <v>246</v>
      </c>
      <c r="L48" s="121" t="s">
        <v>234</v>
      </c>
      <c r="M48" s="121" t="s">
        <v>247</v>
      </c>
      <c r="N48" s="121" t="s">
        <v>248</v>
      </c>
      <c r="O48" s="167" t="s">
        <v>249</v>
      </c>
      <c r="P48" s="251"/>
      <c r="Q48" s="162" t="str">
        <f t="shared" si="0"/>
        <v>1cX120</v>
      </c>
      <c r="R48" s="121">
        <v>0.32</v>
      </c>
      <c r="S48" s="121">
        <v>0.082</v>
      </c>
      <c r="T48" s="121">
        <v>0.196</v>
      </c>
      <c r="U48" s="121">
        <v>0.082</v>
      </c>
      <c r="V48" s="121" t="s">
        <v>250</v>
      </c>
      <c r="W48" s="121" t="s">
        <v>228</v>
      </c>
      <c r="X48" s="121" t="s">
        <v>251</v>
      </c>
      <c r="Y48" s="121" t="s">
        <v>251</v>
      </c>
      <c r="Z48" s="121" t="s">
        <v>240</v>
      </c>
      <c r="AA48" s="121" t="s">
        <v>252</v>
      </c>
      <c r="AB48" s="121" t="s">
        <v>253</v>
      </c>
      <c r="AC48" s="167" t="s">
        <v>254</v>
      </c>
      <c r="AD48" s="252"/>
      <c r="AE48" s="251"/>
      <c r="AF48" s="251"/>
      <c r="AG48" s="251"/>
      <c r="AH48" s="251"/>
    </row>
    <row r="49" spans="1:34" ht="12.75">
      <c r="A49" s="251"/>
      <c r="B49" s="258"/>
      <c r="C49" s="164" t="s">
        <v>255</v>
      </c>
      <c r="D49" s="121">
        <v>0.25</v>
      </c>
      <c r="E49" s="121">
        <v>0.094</v>
      </c>
      <c r="F49" s="121">
        <v>0.149</v>
      </c>
      <c r="G49" s="121">
        <v>0.094</v>
      </c>
      <c r="H49" s="121" t="s">
        <v>234</v>
      </c>
      <c r="I49" s="121" t="s">
        <v>223</v>
      </c>
      <c r="J49" s="121" t="s">
        <v>246</v>
      </c>
      <c r="K49" s="121" t="s">
        <v>247</v>
      </c>
      <c r="L49" s="121" t="s">
        <v>235</v>
      </c>
      <c r="M49" s="121" t="s">
        <v>256</v>
      </c>
      <c r="N49" s="121" t="s">
        <v>257</v>
      </c>
      <c r="O49" s="167" t="s">
        <v>258</v>
      </c>
      <c r="P49" s="251"/>
      <c r="Q49" s="162" t="str">
        <f t="shared" si="0"/>
        <v>1cX150  </v>
      </c>
      <c r="R49" s="121">
        <v>0.265</v>
      </c>
      <c r="S49" s="121">
        <v>0.082</v>
      </c>
      <c r="T49" s="121">
        <v>0.159</v>
      </c>
      <c r="U49" s="121">
        <v>0.082</v>
      </c>
      <c r="V49" s="121" t="s">
        <v>240</v>
      </c>
      <c r="W49" s="121" t="s">
        <v>250</v>
      </c>
      <c r="X49" s="121" t="s">
        <v>259</v>
      </c>
      <c r="Y49" s="121" t="s">
        <v>260</v>
      </c>
      <c r="Z49" s="121" t="s">
        <v>251</v>
      </c>
      <c r="AA49" s="121" t="s">
        <v>261</v>
      </c>
      <c r="AB49" s="121" t="s">
        <v>262</v>
      </c>
      <c r="AC49" s="167" t="s">
        <v>263</v>
      </c>
      <c r="AD49" s="252"/>
      <c r="AE49" s="251"/>
      <c r="AF49" s="251"/>
      <c r="AG49" s="251"/>
      <c r="AH49" s="251"/>
    </row>
    <row r="50" spans="1:34" ht="12.75">
      <c r="A50" s="251"/>
      <c r="B50" s="258"/>
      <c r="C50" s="164" t="s">
        <v>264</v>
      </c>
      <c r="D50" s="121">
        <v>0.2</v>
      </c>
      <c r="E50" s="121">
        <v>0.092</v>
      </c>
      <c r="F50" s="121">
        <v>0.12</v>
      </c>
      <c r="G50" s="121">
        <v>0.092</v>
      </c>
      <c r="H50" s="121" t="s">
        <v>265</v>
      </c>
      <c r="I50" s="121" t="s">
        <v>228</v>
      </c>
      <c r="J50" s="121" t="s">
        <v>266</v>
      </c>
      <c r="K50" s="121" t="s">
        <v>267</v>
      </c>
      <c r="L50" s="121" t="s">
        <v>268</v>
      </c>
      <c r="M50" s="121" t="s">
        <v>269</v>
      </c>
      <c r="N50" s="121" t="s">
        <v>262</v>
      </c>
      <c r="O50" s="167" t="s">
        <v>270</v>
      </c>
      <c r="P50" s="251"/>
      <c r="Q50" s="162" t="str">
        <f t="shared" si="0"/>
        <v>1cX185  </v>
      </c>
      <c r="R50" s="121">
        <v>0.211</v>
      </c>
      <c r="S50" s="121">
        <v>0.082</v>
      </c>
      <c r="T50" s="121">
        <v>0.127</v>
      </c>
      <c r="U50" s="121">
        <v>0.082</v>
      </c>
      <c r="V50" s="121" t="s">
        <v>271</v>
      </c>
      <c r="W50" s="121" t="s">
        <v>268</v>
      </c>
      <c r="X50" s="121" t="s">
        <v>272</v>
      </c>
      <c r="Y50" s="121" t="s">
        <v>252</v>
      </c>
      <c r="Z50" s="121" t="s">
        <v>260</v>
      </c>
      <c r="AA50" s="121" t="s">
        <v>273</v>
      </c>
      <c r="AB50" s="121" t="s">
        <v>274</v>
      </c>
      <c r="AC50" s="167" t="s">
        <v>275</v>
      </c>
      <c r="AD50" s="252"/>
      <c r="AE50" s="251"/>
      <c r="AF50" s="251"/>
      <c r="AG50" s="251"/>
      <c r="AH50" s="251"/>
    </row>
    <row r="51" spans="1:34" ht="12.75">
      <c r="A51" s="251"/>
      <c r="B51" s="258"/>
      <c r="C51" s="164" t="s">
        <v>276</v>
      </c>
      <c r="D51" s="121">
        <v>0.15</v>
      </c>
      <c r="E51" s="121">
        <v>0.09</v>
      </c>
      <c r="F51" s="121">
        <v>0.091</v>
      </c>
      <c r="G51" s="121">
        <v>0.09</v>
      </c>
      <c r="H51" s="121" t="s">
        <v>231</v>
      </c>
      <c r="I51" s="121" t="s">
        <v>229</v>
      </c>
      <c r="J51" s="121" t="s">
        <v>260</v>
      </c>
      <c r="K51" s="121" t="s">
        <v>277</v>
      </c>
      <c r="L51" s="121" t="s">
        <v>278</v>
      </c>
      <c r="M51" s="121" t="s">
        <v>279</v>
      </c>
      <c r="N51" s="121" t="s">
        <v>280</v>
      </c>
      <c r="O51" s="167" t="s">
        <v>281</v>
      </c>
      <c r="P51" s="251"/>
      <c r="Q51" s="162" t="str">
        <f t="shared" si="0"/>
        <v>1cX240  </v>
      </c>
      <c r="R51" s="121">
        <v>0.162</v>
      </c>
      <c r="S51" s="121">
        <v>0.079</v>
      </c>
      <c r="T51" s="121">
        <v>0.0965</v>
      </c>
      <c r="U51" s="121">
        <v>0.079</v>
      </c>
      <c r="V51" s="121" t="s">
        <v>282</v>
      </c>
      <c r="W51" s="121" t="s">
        <v>251</v>
      </c>
      <c r="X51" s="121" t="s">
        <v>283</v>
      </c>
      <c r="Y51" s="121" t="s">
        <v>284</v>
      </c>
      <c r="Z51" s="121" t="s">
        <v>272</v>
      </c>
      <c r="AA51" s="121" t="s">
        <v>285</v>
      </c>
      <c r="AB51" s="121" t="s">
        <v>286</v>
      </c>
      <c r="AC51" s="167" t="s">
        <v>287</v>
      </c>
      <c r="AD51" s="252"/>
      <c r="AE51" s="251"/>
      <c r="AF51" s="251"/>
      <c r="AG51" s="251"/>
      <c r="AH51" s="251"/>
    </row>
    <row r="52" spans="1:34" ht="12.75">
      <c r="A52" s="251"/>
      <c r="B52" s="258"/>
      <c r="C52" s="164" t="s">
        <v>288</v>
      </c>
      <c r="D52" s="121">
        <v>0.12</v>
      </c>
      <c r="E52" s="121">
        <v>0.088</v>
      </c>
      <c r="F52" s="121">
        <v>0.074</v>
      </c>
      <c r="G52" s="121">
        <v>0.088</v>
      </c>
      <c r="H52" s="121" t="s">
        <v>271</v>
      </c>
      <c r="I52" s="121" t="s">
        <v>235</v>
      </c>
      <c r="J52" s="121" t="s">
        <v>252</v>
      </c>
      <c r="K52" s="121" t="s">
        <v>289</v>
      </c>
      <c r="L52" s="121" t="s">
        <v>290</v>
      </c>
      <c r="M52" s="121" t="s">
        <v>291</v>
      </c>
      <c r="N52" s="121">
        <v>22.8</v>
      </c>
      <c r="O52" s="167" t="s">
        <v>293</v>
      </c>
      <c r="P52" s="251"/>
      <c r="Q52" s="162" t="str">
        <f t="shared" si="0"/>
        <v>1cX300  </v>
      </c>
      <c r="R52" s="121">
        <v>0.13</v>
      </c>
      <c r="S52" s="121">
        <v>0.078</v>
      </c>
      <c r="T52" s="121">
        <v>0.0769</v>
      </c>
      <c r="U52" s="121">
        <v>0.078</v>
      </c>
      <c r="V52" s="121" t="s">
        <v>294</v>
      </c>
      <c r="W52" s="121" t="s">
        <v>260</v>
      </c>
      <c r="X52" s="121" t="s">
        <v>295</v>
      </c>
      <c r="Y52" s="121" t="s">
        <v>296</v>
      </c>
      <c r="Z52" s="121" t="s">
        <v>261</v>
      </c>
      <c r="AA52" s="121" t="s">
        <v>297</v>
      </c>
      <c r="AB52" s="121" t="s">
        <v>298</v>
      </c>
      <c r="AC52" s="167" t="s">
        <v>299</v>
      </c>
      <c r="AD52" s="252"/>
      <c r="AE52" s="251"/>
      <c r="AF52" s="251"/>
      <c r="AG52" s="251"/>
      <c r="AH52" s="251"/>
    </row>
    <row r="53" spans="1:34" ht="12.75">
      <c r="A53" s="251"/>
      <c r="B53" s="258"/>
      <c r="C53" s="164" t="s">
        <v>300</v>
      </c>
      <c r="D53" s="121">
        <v>0.094</v>
      </c>
      <c r="E53" s="121">
        <v>0.088</v>
      </c>
      <c r="F53" s="121">
        <v>0.059</v>
      </c>
      <c r="G53" s="121">
        <v>0.088</v>
      </c>
      <c r="H53" s="121" t="s">
        <v>301</v>
      </c>
      <c r="I53" s="121" t="s">
        <v>302</v>
      </c>
      <c r="J53" s="121" t="s">
        <v>284</v>
      </c>
      <c r="K53" s="121" t="s">
        <v>303</v>
      </c>
      <c r="L53" s="121" t="s">
        <v>260</v>
      </c>
      <c r="M53" s="121" t="s">
        <v>304</v>
      </c>
      <c r="N53" s="121" t="s">
        <v>305</v>
      </c>
      <c r="O53" s="167" t="s">
        <v>306</v>
      </c>
      <c r="P53" s="251"/>
      <c r="Q53" s="162" t="str">
        <f t="shared" si="0"/>
        <v>1cX400  </v>
      </c>
      <c r="R53" s="121">
        <v>0.1023</v>
      </c>
      <c r="S53" s="121">
        <v>0.077</v>
      </c>
      <c r="T53" s="121">
        <v>0.0608</v>
      </c>
      <c r="U53" s="121">
        <v>0.077</v>
      </c>
      <c r="V53" s="121" t="s">
        <v>283</v>
      </c>
      <c r="W53" s="121" t="s">
        <v>252</v>
      </c>
      <c r="X53" s="121" t="s">
        <v>307</v>
      </c>
      <c r="Y53" s="121" t="s">
        <v>304</v>
      </c>
      <c r="Z53" s="121" t="s">
        <v>308</v>
      </c>
      <c r="AA53" s="121" t="s">
        <v>309</v>
      </c>
      <c r="AB53" s="121" t="s">
        <v>310</v>
      </c>
      <c r="AC53" s="167" t="s">
        <v>311</v>
      </c>
      <c r="AD53" s="252"/>
      <c r="AE53" s="251"/>
      <c r="AF53" s="251"/>
      <c r="AG53" s="251"/>
      <c r="AH53" s="251"/>
    </row>
    <row r="54" spans="1:34" ht="12.75">
      <c r="A54" s="251"/>
      <c r="B54" s="258"/>
      <c r="C54" s="164" t="s">
        <v>312</v>
      </c>
      <c r="D54" s="121">
        <v>0.0726</v>
      </c>
      <c r="E54" s="121">
        <v>0.087</v>
      </c>
      <c r="F54" s="121">
        <v>0.046</v>
      </c>
      <c r="G54" s="121">
        <v>0.087</v>
      </c>
      <c r="H54" s="121" t="s">
        <v>277</v>
      </c>
      <c r="I54" s="121" t="s">
        <v>271</v>
      </c>
      <c r="J54" s="121" t="s">
        <v>308</v>
      </c>
      <c r="K54" s="121" t="s">
        <v>279</v>
      </c>
      <c r="L54" s="121" t="s">
        <v>313</v>
      </c>
      <c r="M54" s="121" t="s">
        <v>285</v>
      </c>
      <c r="N54" s="121" t="s">
        <v>314</v>
      </c>
      <c r="O54" s="167" t="s">
        <v>315</v>
      </c>
      <c r="P54" s="251"/>
      <c r="Q54" s="162" t="str">
        <f t="shared" si="0"/>
        <v>1cX 500  </v>
      </c>
      <c r="R54" s="121">
        <v>0.0808</v>
      </c>
      <c r="S54" s="121">
        <v>0.076</v>
      </c>
      <c r="T54" s="121">
        <v>0.0468</v>
      </c>
      <c r="U54" s="121">
        <v>0.076</v>
      </c>
      <c r="V54" s="121" t="s">
        <v>316</v>
      </c>
      <c r="W54" s="121" t="s">
        <v>261</v>
      </c>
      <c r="X54" s="121" t="s">
        <v>317</v>
      </c>
      <c r="Y54" s="121" t="s">
        <v>318</v>
      </c>
      <c r="Z54" s="121" t="s">
        <v>319</v>
      </c>
      <c r="AA54" s="121" t="s">
        <v>320</v>
      </c>
      <c r="AB54" s="121" t="s">
        <v>321</v>
      </c>
      <c r="AC54" s="167" t="s">
        <v>322</v>
      </c>
      <c r="AD54" s="252"/>
      <c r="AE54" s="251"/>
      <c r="AF54" s="251"/>
      <c r="AG54" s="251"/>
      <c r="AH54" s="251"/>
    </row>
    <row r="55" spans="1:34" ht="12.75">
      <c r="A55" s="251"/>
      <c r="B55" s="258"/>
      <c r="C55" s="164" t="s">
        <v>323</v>
      </c>
      <c r="D55" s="121">
        <v>0.0563</v>
      </c>
      <c r="E55" s="121">
        <v>0.086</v>
      </c>
      <c r="F55" s="121">
        <v>0.037</v>
      </c>
      <c r="G55" s="121">
        <v>0.086</v>
      </c>
      <c r="H55" s="121" t="s">
        <v>294</v>
      </c>
      <c r="I55" s="121" t="s">
        <v>256</v>
      </c>
      <c r="J55" s="121" t="s">
        <v>304</v>
      </c>
      <c r="K55" s="121" t="s">
        <v>324</v>
      </c>
      <c r="L55" s="121" t="s">
        <v>289</v>
      </c>
      <c r="M55" s="121" t="s">
        <v>325</v>
      </c>
      <c r="N55" s="121" t="s">
        <v>326</v>
      </c>
      <c r="O55" s="167" t="s">
        <v>327</v>
      </c>
      <c r="P55" s="251"/>
      <c r="Q55" s="162" t="str">
        <f t="shared" si="0"/>
        <v>1cX 630  </v>
      </c>
      <c r="R55" s="121">
        <v>0.0648</v>
      </c>
      <c r="S55" s="121">
        <v>0.075</v>
      </c>
      <c r="T55" s="121">
        <v>0.0362</v>
      </c>
      <c r="U55" s="121">
        <v>0.075</v>
      </c>
      <c r="V55" s="121" t="s">
        <v>328</v>
      </c>
      <c r="W55" s="121" t="s">
        <v>329</v>
      </c>
      <c r="X55" s="121" t="s">
        <v>330</v>
      </c>
      <c r="Y55" s="121" t="s">
        <v>331</v>
      </c>
      <c r="Z55" s="121" t="s">
        <v>285</v>
      </c>
      <c r="AA55" s="121" t="s">
        <v>332</v>
      </c>
      <c r="AB55" s="121" t="s">
        <v>333</v>
      </c>
      <c r="AC55" s="167" t="s">
        <v>334</v>
      </c>
      <c r="AD55" s="252"/>
      <c r="AE55" s="251"/>
      <c r="AF55" s="251"/>
      <c r="AG55" s="251"/>
      <c r="AH55" s="251"/>
    </row>
    <row r="56" spans="1:34" ht="12.75">
      <c r="A56" s="251"/>
      <c r="B56" s="258"/>
      <c r="C56" s="164" t="s">
        <v>335</v>
      </c>
      <c r="D56" s="121">
        <v>0.044</v>
      </c>
      <c r="E56" s="121">
        <v>0.083</v>
      </c>
      <c r="F56" s="121">
        <v>0.031</v>
      </c>
      <c r="G56" s="121">
        <v>0.083</v>
      </c>
      <c r="H56" s="121" t="s">
        <v>283</v>
      </c>
      <c r="I56" s="121" t="s">
        <v>252</v>
      </c>
      <c r="J56" s="121" t="s">
        <v>318</v>
      </c>
      <c r="K56" s="121" t="s">
        <v>319</v>
      </c>
      <c r="L56" s="121" t="s">
        <v>279</v>
      </c>
      <c r="M56" s="121" t="s">
        <v>336</v>
      </c>
      <c r="N56" s="121" t="s">
        <v>337</v>
      </c>
      <c r="O56" s="167" t="s">
        <v>338</v>
      </c>
      <c r="P56" s="251"/>
      <c r="Q56" s="162" t="str">
        <f t="shared" si="0"/>
        <v>1cX800  </v>
      </c>
      <c r="R56" s="121">
        <v>0.053</v>
      </c>
      <c r="S56" s="121">
        <v>0.075</v>
      </c>
      <c r="T56" s="121">
        <v>0.0283</v>
      </c>
      <c r="U56" s="121">
        <v>0.075</v>
      </c>
      <c r="V56" s="121" t="s">
        <v>339</v>
      </c>
      <c r="W56" s="121" t="s">
        <v>319</v>
      </c>
      <c r="X56" s="121" t="s">
        <v>340</v>
      </c>
      <c r="Y56" s="121" t="s">
        <v>341</v>
      </c>
      <c r="Z56" s="121" t="s">
        <v>342</v>
      </c>
      <c r="AA56" s="121" t="s">
        <v>343</v>
      </c>
      <c r="AB56" s="121" t="s">
        <v>344</v>
      </c>
      <c r="AC56" s="167" t="s">
        <v>345</v>
      </c>
      <c r="AD56" s="252"/>
      <c r="AE56" s="251"/>
      <c r="AF56" s="251"/>
      <c r="AG56" s="251"/>
      <c r="AH56" s="251"/>
    </row>
    <row r="57" spans="1:34" ht="12.75">
      <c r="A57" s="251"/>
      <c r="B57" s="258"/>
      <c r="C57" s="164" t="s">
        <v>346</v>
      </c>
      <c r="D57" s="121">
        <v>0.0349</v>
      </c>
      <c r="E57" s="121">
        <v>0.082</v>
      </c>
      <c r="F57" s="121">
        <v>0.027</v>
      </c>
      <c r="G57" s="121">
        <v>0.082</v>
      </c>
      <c r="H57" s="121" t="s">
        <v>316</v>
      </c>
      <c r="I57" s="121" t="s">
        <v>347</v>
      </c>
      <c r="J57" s="121" t="s">
        <v>331</v>
      </c>
      <c r="K57" s="121" t="s">
        <v>285</v>
      </c>
      <c r="L57" s="121" t="s">
        <v>341</v>
      </c>
      <c r="M57" s="121" t="s">
        <v>348</v>
      </c>
      <c r="N57" s="121" t="s">
        <v>349</v>
      </c>
      <c r="O57" s="167" t="s">
        <v>350</v>
      </c>
      <c r="P57" s="251"/>
      <c r="Q57" s="162" t="str">
        <f t="shared" si="0"/>
        <v>1cX1000  </v>
      </c>
      <c r="R57" s="121">
        <v>0.0444</v>
      </c>
      <c r="S57" s="121">
        <v>0.068</v>
      </c>
      <c r="T57" s="121">
        <v>0.0225</v>
      </c>
      <c r="U57" s="121">
        <v>0.068</v>
      </c>
      <c r="V57" s="121" t="s">
        <v>351</v>
      </c>
      <c r="W57" s="121" t="s">
        <v>352</v>
      </c>
      <c r="X57" s="121" t="s">
        <v>353</v>
      </c>
      <c r="Y57" s="121" t="s">
        <v>309</v>
      </c>
      <c r="Z57" s="121" t="s">
        <v>325</v>
      </c>
      <c r="AA57" s="121" t="s">
        <v>354</v>
      </c>
      <c r="AB57" s="121" t="s">
        <v>355</v>
      </c>
      <c r="AC57" s="167" t="s">
        <v>356</v>
      </c>
      <c r="AD57" s="252"/>
      <c r="AE57" s="251"/>
      <c r="AF57" s="251"/>
      <c r="AG57" s="251"/>
      <c r="AH57" s="251"/>
    </row>
    <row r="58" spans="1:34" ht="12.75">
      <c r="A58" s="251"/>
      <c r="B58" s="258"/>
      <c r="C58" s="248" t="s">
        <v>92</v>
      </c>
      <c r="D58" s="121">
        <v>21.72</v>
      </c>
      <c r="E58" s="121">
        <v>0.126</v>
      </c>
      <c r="F58" s="121">
        <v>14.5</v>
      </c>
      <c r="G58" s="121">
        <v>0.126</v>
      </c>
      <c r="H58" s="121">
        <v>18</v>
      </c>
      <c r="I58" s="121">
        <v>16</v>
      </c>
      <c r="J58" s="121">
        <v>16</v>
      </c>
      <c r="K58" s="121">
        <v>23</v>
      </c>
      <c r="L58" s="121">
        <v>20</v>
      </c>
      <c r="M58" s="121">
        <v>20</v>
      </c>
      <c r="N58" s="122">
        <v>0.3</v>
      </c>
      <c r="O58" s="170">
        <v>0.4</v>
      </c>
      <c r="P58" s="251"/>
      <c r="Q58" s="162" t="str">
        <f t="shared" si="0"/>
        <v>2cX1.5</v>
      </c>
      <c r="R58" s="121" t="s">
        <v>143</v>
      </c>
      <c r="S58" s="121" t="s">
        <v>143</v>
      </c>
      <c r="T58" s="121" t="s">
        <v>143</v>
      </c>
      <c r="U58" s="121" t="s">
        <v>143</v>
      </c>
      <c r="V58" s="121" t="s">
        <v>143</v>
      </c>
      <c r="W58" s="121" t="s">
        <v>143</v>
      </c>
      <c r="X58" s="121" t="s">
        <v>143</v>
      </c>
      <c r="Y58" s="121" t="s">
        <v>143</v>
      </c>
      <c r="Z58" s="121" t="s">
        <v>143</v>
      </c>
      <c r="AA58" s="121" t="s">
        <v>143</v>
      </c>
      <c r="AB58" s="121" t="s">
        <v>143</v>
      </c>
      <c r="AC58" s="167" t="s">
        <v>143</v>
      </c>
      <c r="AD58" s="252"/>
      <c r="AE58" s="251"/>
      <c r="AF58" s="251"/>
      <c r="AG58" s="251"/>
      <c r="AH58" s="251"/>
    </row>
    <row r="59" spans="1:34" ht="12.75">
      <c r="A59" s="251"/>
      <c r="B59" s="258"/>
      <c r="C59" s="248" t="s">
        <v>93</v>
      </c>
      <c r="D59" s="121">
        <v>14.52</v>
      </c>
      <c r="E59" s="121">
        <v>0.119</v>
      </c>
      <c r="F59" s="121">
        <v>8.87</v>
      </c>
      <c r="G59" s="121">
        <v>0.119</v>
      </c>
      <c r="H59" s="121">
        <v>16</v>
      </c>
      <c r="I59" s="121">
        <v>21</v>
      </c>
      <c r="J59" s="121">
        <v>21</v>
      </c>
      <c r="K59" s="121">
        <v>32</v>
      </c>
      <c r="L59" s="121">
        <v>27</v>
      </c>
      <c r="M59" s="121">
        <v>27</v>
      </c>
      <c r="N59" s="122">
        <v>0.3</v>
      </c>
      <c r="O59" s="170">
        <v>0.4</v>
      </c>
      <c r="P59" s="251"/>
      <c r="Q59" s="162" t="str">
        <f t="shared" si="0"/>
        <v>2cX2.5</v>
      </c>
      <c r="R59" s="121" t="s">
        <v>143</v>
      </c>
      <c r="S59" s="121" t="s">
        <v>143</v>
      </c>
      <c r="T59" s="121" t="s">
        <v>143</v>
      </c>
      <c r="U59" s="121" t="s">
        <v>143</v>
      </c>
      <c r="V59" s="121" t="s">
        <v>143</v>
      </c>
      <c r="W59" s="121" t="s">
        <v>143</v>
      </c>
      <c r="X59" s="121" t="s">
        <v>143</v>
      </c>
      <c r="Y59" s="121" t="s">
        <v>143</v>
      </c>
      <c r="Z59" s="121" t="s">
        <v>143</v>
      </c>
      <c r="AA59" s="121" t="s">
        <v>143</v>
      </c>
      <c r="AB59" s="121" t="s">
        <v>143</v>
      </c>
      <c r="AC59" s="167" t="s">
        <v>143</v>
      </c>
      <c r="AD59" s="252"/>
      <c r="AE59" s="251"/>
      <c r="AF59" s="251"/>
      <c r="AG59" s="251"/>
      <c r="AH59" s="251"/>
    </row>
    <row r="60" spans="1:34" ht="12.75">
      <c r="A60" s="251"/>
      <c r="B60" s="258"/>
      <c r="C60" s="248" t="s">
        <v>94</v>
      </c>
      <c r="D60" s="121">
        <v>8.89</v>
      </c>
      <c r="E60" s="121">
        <v>0.116</v>
      </c>
      <c r="F60" s="121">
        <v>5.52</v>
      </c>
      <c r="G60" s="121">
        <v>0.116</v>
      </c>
      <c r="H60" s="121" t="s">
        <v>357</v>
      </c>
      <c r="I60" s="121" t="s">
        <v>358</v>
      </c>
      <c r="J60" s="121" t="s">
        <v>358</v>
      </c>
      <c r="K60" s="121" t="s">
        <v>359</v>
      </c>
      <c r="L60" s="121" t="s">
        <v>146</v>
      </c>
      <c r="M60" s="121" t="s">
        <v>146</v>
      </c>
      <c r="N60" s="121" t="s">
        <v>147</v>
      </c>
      <c r="O60" s="167" t="s">
        <v>148</v>
      </c>
      <c r="P60" s="251"/>
      <c r="Q60" s="162" t="str">
        <f t="shared" si="0"/>
        <v>2cX4</v>
      </c>
      <c r="R60" s="121">
        <v>1.555</v>
      </c>
      <c r="S60" s="121">
        <v>0.097</v>
      </c>
      <c r="T60" s="121">
        <v>1.555</v>
      </c>
      <c r="U60" s="121">
        <v>0.097</v>
      </c>
      <c r="V60" s="121" t="s">
        <v>360</v>
      </c>
      <c r="W60" s="121" t="s">
        <v>361</v>
      </c>
      <c r="X60" s="121" t="s">
        <v>362</v>
      </c>
      <c r="Y60" s="121" t="s">
        <v>156</v>
      </c>
      <c r="Z60" s="121" t="s">
        <v>154</v>
      </c>
      <c r="AA60" s="121" t="s">
        <v>144</v>
      </c>
      <c r="AB60" s="121" t="s">
        <v>152</v>
      </c>
      <c r="AC60" s="167" t="s">
        <v>153</v>
      </c>
      <c r="AD60" s="252"/>
      <c r="AE60" s="251"/>
      <c r="AF60" s="251"/>
      <c r="AG60" s="251"/>
      <c r="AH60" s="251"/>
    </row>
    <row r="61" spans="1:34" ht="12.75">
      <c r="A61" s="251"/>
      <c r="B61" s="258"/>
      <c r="C61" s="164" t="s">
        <v>363</v>
      </c>
      <c r="D61" s="121">
        <v>5.53</v>
      </c>
      <c r="E61" s="121">
        <v>0.11</v>
      </c>
      <c r="F61" s="121">
        <v>3.69</v>
      </c>
      <c r="G61" s="121">
        <v>0.11</v>
      </c>
      <c r="H61" s="121" t="s">
        <v>364</v>
      </c>
      <c r="I61" s="121" t="s">
        <v>360</v>
      </c>
      <c r="J61" s="121" t="s">
        <v>146</v>
      </c>
      <c r="K61" s="121" t="s">
        <v>365</v>
      </c>
      <c r="L61" s="121" t="s">
        <v>156</v>
      </c>
      <c r="M61" s="121" t="s">
        <v>151</v>
      </c>
      <c r="N61" s="121" t="s">
        <v>157</v>
      </c>
      <c r="O61" s="167" t="s">
        <v>158</v>
      </c>
      <c r="P61" s="251"/>
      <c r="Q61" s="162" t="str">
        <f t="shared" si="0"/>
        <v> 2cX 6  </v>
      </c>
      <c r="R61" s="121">
        <v>1.553</v>
      </c>
      <c r="S61" s="121">
        <v>0.097</v>
      </c>
      <c r="T61" s="121">
        <v>1.553</v>
      </c>
      <c r="U61" s="121">
        <v>0.097</v>
      </c>
      <c r="V61" s="121" t="s">
        <v>366</v>
      </c>
      <c r="W61" s="121" t="s">
        <v>154</v>
      </c>
      <c r="X61" s="121" t="s">
        <v>364</v>
      </c>
      <c r="Y61" s="121" t="s">
        <v>367</v>
      </c>
      <c r="Z61" s="121" t="s">
        <v>150</v>
      </c>
      <c r="AA61" s="121" t="s">
        <v>365</v>
      </c>
      <c r="AB61" s="121" t="s">
        <v>162</v>
      </c>
      <c r="AC61" s="167" t="s">
        <v>163</v>
      </c>
      <c r="AD61" s="252"/>
      <c r="AE61" s="251"/>
      <c r="AF61" s="251"/>
      <c r="AG61" s="251"/>
      <c r="AH61" s="251"/>
    </row>
    <row r="62" spans="1:34" ht="12.75">
      <c r="A62" s="251"/>
      <c r="B62" s="258"/>
      <c r="C62" s="164" t="s">
        <v>368</v>
      </c>
      <c r="D62" s="121">
        <v>3.7</v>
      </c>
      <c r="E62" s="121">
        <v>0.1</v>
      </c>
      <c r="F62" s="121">
        <v>2.19</v>
      </c>
      <c r="G62" s="121">
        <v>0.1</v>
      </c>
      <c r="H62" s="121" t="s">
        <v>367</v>
      </c>
      <c r="I62" s="121" t="s">
        <v>151</v>
      </c>
      <c r="J62" s="121" t="s">
        <v>150</v>
      </c>
      <c r="K62" s="121" t="s">
        <v>369</v>
      </c>
      <c r="L62" s="121" t="s">
        <v>370</v>
      </c>
      <c r="M62" s="121" t="s">
        <v>159</v>
      </c>
      <c r="N62" s="121" t="s">
        <v>167</v>
      </c>
      <c r="O62" s="167" t="s">
        <v>168</v>
      </c>
      <c r="P62" s="251"/>
      <c r="Q62" s="162" t="str">
        <f t="shared" si="0"/>
        <v>2cX10  </v>
      </c>
      <c r="R62" s="121">
        <v>1.553</v>
      </c>
      <c r="S62" s="121">
        <v>0.085</v>
      </c>
      <c r="T62" s="121">
        <v>1.553</v>
      </c>
      <c r="U62" s="121">
        <v>0.085</v>
      </c>
      <c r="V62" s="121" t="s">
        <v>161</v>
      </c>
      <c r="W62" s="121" t="s">
        <v>149</v>
      </c>
      <c r="X62" s="121" t="s">
        <v>371</v>
      </c>
      <c r="Y62" s="121" t="s">
        <v>372</v>
      </c>
      <c r="Z62" s="121" t="s">
        <v>170</v>
      </c>
      <c r="AA62" s="121" t="s">
        <v>373</v>
      </c>
      <c r="AB62" s="121" t="s">
        <v>174</v>
      </c>
      <c r="AC62" s="167" t="s">
        <v>175</v>
      </c>
      <c r="AD62" s="252"/>
      <c r="AE62" s="251"/>
      <c r="AF62" s="251"/>
      <c r="AG62" s="251"/>
      <c r="AH62" s="251"/>
    </row>
    <row r="63" spans="1:34" ht="12.75">
      <c r="A63" s="251"/>
      <c r="B63" s="258"/>
      <c r="C63" s="164" t="s">
        <v>374</v>
      </c>
      <c r="D63" s="121">
        <v>2.29</v>
      </c>
      <c r="E63" s="121">
        <v>0.097</v>
      </c>
      <c r="F63" s="121">
        <v>1.38</v>
      </c>
      <c r="G63" s="121">
        <v>0.097</v>
      </c>
      <c r="H63" s="121" t="s">
        <v>369</v>
      </c>
      <c r="I63" s="121" t="s">
        <v>370</v>
      </c>
      <c r="J63" s="121" t="s">
        <v>160</v>
      </c>
      <c r="K63" s="121" t="s">
        <v>194</v>
      </c>
      <c r="L63" s="121" t="s">
        <v>375</v>
      </c>
      <c r="M63" s="121" t="s">
        <v>172</v>
      </c>
      <c r="N63" s="121" t="s">
        <v>180</v>
      </c>
      <c r="O63" s="167" t="s">
        <v>376</v>
      </c>
      <c r="P63" s="251"/>
      <c r="Q63" s="162" t="str">
        <f t="shared" si="0"/>
        <v>2cX16  </v>
      </c>
      <c r="R63" s="121">
        <v>1.54</v>
      </c>
      <c r="S63" s="121">
        <v>0.08</v>
      </c>
      <c r="T63" s="121">
        <v>1.54</v>
      </c>
      <c r="U63" s="121">
        <v>0.08</v>
      </c>
      <c r="V63" s="121" t="s">
        <v>172</v>
      </c>
      <c r="W63" s="121" t="s">
        <v>170</v>
      </c>
      <c r="X63" s="121" t="s">
        <v>369</v>
      </c>
      <c r="Y63" s="121" t="s">
        <v>377</v>
      </c>
      <c r="Z63" s="121" t="s">
        <v>172</v>
      </c>
      <c r="AA63" s="121" t="s">
        <v>177</v>
      </c>
      <c r="AB63" s="121" t="s">
        <v>378</v>
      </c>
      <c r="AC63" s="167" t="s">
        <v>379</v>
      </c>
      <c r="AD63" s="252"/>
      <c r="AE63" s="251"/>
      <c r="AF63" s="251"/>
      <c r="AG63" s="251"/>
      <c r="AH63" s="251"/>
    </row>
    <row r="64" spans="1:34" ht="12.75">
      <c r="A64" s="251"/>
      <c r="B64" s="258"/>
      <c r="C64" s="164" t="s">
        <v>380</v>
      </c>
      <c r="D64" s="121">
        <v>1.44</v>
      </c>
      <c r="E64" s="121">
        <v>0.097</v>
      </c>
      <c r="F64" s="121">
        <v>0.87</v>
      </c>
      <c r="G64" s="121">
        <v>0.097</v>
      </c>
      <c r="H64" s="121" t="s">
        <v>194</v>
      </c>
      <c r="I64" s="121" t="s">
        <v>381</v>
      </c>
      <c r="J64" s="121" t="s">
        <v>172</v>
      </c>
      <c r="K64" s="121" t="s">
        <v>195</v>
      </c>
      <c r="L64" s="121" t="s">
        <v>382</v>
      </c>
      <c r="M64" s="121" t="s">
        <v>201</v>
      </c>
      <c r="N64" s="121" t="s">
        <v>191</v>
      </c>
      <c r="O64" s="167" t="s">
        <v>383</v>
      </c>
      <c r="P64" s="251"/>
      <c r="Q64" s="162" t="str">
        <f t="shared" si="0"/>
        <v>2cX25  </v>
      </c>
      <c r="R64" s="121">
        <v>1.54</v>
      </c>
      <c r="S64" s="121">
        <v>0.08</v>
      </c>
      <c r="T64" s="121">
        <v>0.93</v>
      </c>
      <c r="U64" s="121">
        <v>0.08</v>
      </c>
      <c r="V64" s="121" t="s">
        <v>384</v>
      </c>
      <c r="W64" s="121" t="s">
        <v>171</v>
      </c>
      <c r="X64" s="121" t="s">
        <v>193</v>
      </c>
      <c r="Y64" s="121" t="s">
        <v>212</v>
      </c>
      <c r="Z64" s="121" t="s">
        <v>200</v>
      </c>
      <c r="AA64" s="121" t="s">
        <v>202</v>
      </c>
      <c r="AB64" s="121" t="s">
        <v>385</v>
      </c>
      <c r="AC64" s="167" t="s">
        <v>386</v>
      </c>
      <c r="AD64" s="252"/>
      <c r="AE64" s="251"/>
      <c r="AF64" s="251"/>
      <c r="AG64" s="251"/>
      <c r="AH64" s="251"/>
    </row>
    <row r="65" spans="1:34" ht="12.75">
      <c r="A65" s="251"/>
      <c r="B65" s="258"/>
      <c r="C65" s="164" t="s">
        <v>387</v>
      </c>
      <c r="D65" s="121">
        <v>1.04</v>
      </c>
      <c r="E65" s="121">
        <v>0.097</v>
      </c>
      <c r="F65" s="121">
        <v>0.627</v>
      </c>
      <c r="G65" s="121">
        <v>0.097</v>
      </c>
      <c r="H65" s="121" t="s">
        <v>190</v>
      </c>
      <c r="I65" s="121" t="s">
        <v>388</v>
      </c>
      <c r="J65" s="121" t="s">
        <v>193</v>
      </c>
      <c r="K65" s="121" t="s">
        <v>208</v>
      </c>
      <c r="L65" s="121" t="s">
        <v>212</v>
      </c>
      <c r="M65" s="121" t="s">
        <v>202</v>
      </c>
      <c r="N65" s="121" t="s">
        <v>203</v>
      </c>
      <c r="O65" s="167" t="s">
        <v>389</v>
      </c>
      <c r="P65" s="251"/>
      <c r="Q65" s="162" t="str">
        <f t="shared" si="0"/>
        <v>2cX35  </v>
      </c>
      <c r="R65" s="121">
        <v>1.11</v>
      </c>
      <c r="S65" s="121">
        <v>0.08</v>
      </c>
      <c r="T65" s="121">
        <v>0.671</v>
      </c>
      <c r="U65" s="121">
        <v>0.08</v>
      </c>
      <c r="V65" s="121" t="s">
        <v>390</v>
      </c>
      <c r="W65" s="121" t="s">
        <v>377</v>
      </c>
      <c r="X65" s="121" t="s">
        <v>205</v>
      </c>
      <c r="Y65" s="121" t="s">
        <v>197</v>
      </c>
      <c r="Z65" s="121" t="s">
        <v>212</v>
      </c>
      <c r="AA65" s="121" t="s">
        <v>207</v>
      </c>
      <c r="AB65" s="121" t="s">
        <v>391</v>
      </c>
      <c r="AC65" s="167" t="s">
        <v>392</v>
      </c>
      <c r="AD65" s="252"/>
      <c r="AE65" s="251"/>
      <c r="AF65" s="251"/>
      <c r="AG65" s="251"/>
      <c r="AH65" s="251"/>
    </row>
    <row r="66" spans="1:34" ht="12.75">
      <c r="A66" s="251"/>
      <c r="B66" s="258"/>
      <c r="C66" s="164" t="s">
        <v>393</v>
      </c>
      <c r="D66" s="121">
        <v>0.77</v>
      </c>
      <c r="E66" s="121">
        <v>0.094</v>
      </c>
      <c r="F66" s="121">
        <v>0.463</v>
      </c>
      <c r="G66" s="121">
        <v>0.094</v>
      </c>
      <c r="H66" s="121" t="s">
        <v>206</v>
      </c>
      <c r="I66" s="121" t="s">
        <v>195</v>
      </c>
      <c r="J66" s="121" t="s">
        <v>202</v>
      </c>
      <c r="K66" s="121" t="s">
        <v>214</v>
      </c>
      <c r="L66" s="121" t="s">
        <v>197</v>
      </c>
      <c r="M66" s="121" t="s">
        <v>207</v>
      </c>
      <c r="N66" s="121" t="s">
        <v>215</v>
      </c>
      <c r="O66" s="167" t="s">
        <v>394</v>
      </c>
      <c r="P66" s="251"/>
      <c r="Q66" s="162" t="str">
        <f t="shared" si="0"/>
        <v>2cX50  </v>
      </c>
      <c r="R66" s="121">
        <v>0.082</v>
      </c>
      <c r="S66" s="121">
        <v>0.078</v>
      </c>
      <c r="T66" s="121">
        <v>0.495</v>
      </c>
      <c r="U66" s="121">
        <v>0.078</v>
      </c>
      <c r="V66" s="121" t="s">
        <v>208</v>
      </c>
      <c r="W66" s="121" t="s">
        <v>190</v>
      </c>
      <c r="X66" s="121" t="s">
        <v>208</v>
      </c>
      <c r="Y66" s="121" t="s">
        <v>218</v>
      </c>
      <c r="Z66" s="121" t="s">
        <v>197</v>
      </c>
      <c r="AA66" s="121" t="s">
        <v>223</v>
      </c>
      <c r="AB66" s="121" t="s">
        <v>395</v>
      </c>
      <c r="AC66" s="167" t="s">
        <v>396</v>
      </c>
      <c r="AD66" s="252"/>
      <c r="AE66" s="251"/>
      <c r="AF66" s="251"/>
      <c r="AG66" s="251"/>
      <c r="AH66" s="251"/>
    </row>
    <row r="67" spans="1:34" ht="12.75">
      <c r="A67" s="251"/>
      <c r="B67" s="258"/>
      <c r="C67" s="164" t="s">
        <v>397</v>
      </c>
      <c r="D67" s="121">
        <v>0.53</v>
      </c>
      <c r="E67" s="121">
        <v>0.09</v>
      </c>
      <c r="F67" s="121">
        <v>0.321</v>
      </c>
      <c r="G67" s="121">
        <v>0.09</v>
      </c>
      <c r="H67" s="121" t="s">
        <v>398</v>
      </c>
      <c r="I67" s="121" t="s">
        <v>208</v>
      </c>
      <c r="J67" s="121" t="s">
        <v>213</v>
      </c>
      <c r="K67" s="121" t="s">
        <v>224</v>
      </c>
      <c r="L67" s="121" t="s">
        <v>399</v>
      </c>
      <c r="M67" s="121" t="s">
        <v>245</v>
      </c>
      <c r="N67" s="121" t="s">
        <v>225</v>
      </c>
      <c r="O67" s="167" t="s">
        <v>400</v>
      </c>
      <c r="P67" s="251"/>
      <c r="Q67" s="162" t="str">
        <f t="shared" si="0"/>
        <v>2cX70  </v>
      </c>
      <c r="R67" s="121">
        <v>0.57</v>
      </c>
      <c r="S67" s="121">
        <v>0.077</v>
      </c>
      <c r="T67" s="121">
        <v>0.343</v>
      </c>
      <c r="U67" s="121">
        <v>0.077</v>
      </c>
      <c r="V67" s="121" t="s">
        <v>218</v>
      </c>
      <c r="W67" s="121" t="s">
        <v>208</v>
      </c>
      <c r="X67" s="121" t="s">
        <v>401</v>
      </c>
      <c r="Y67" s="121" t="s">
        <v>228</v>
      </c>
      <c r="Z67" s="121" t="s">
        <v>209</v>
      </c>
      <c r="AA67" s="121" t="s">
        <v>241</v>
      </c>
      <c r="AB67" s="121" t="s">
        <v>402</v>
      </c>
      <c r="AC67" s="167" t="s">
        <v>233</v>
      </c>
      <c r="AD67" s="252"/>
      <c r="AE67" s="251"/>
      <c r="AF67" s="251"/>
      <c r="AG67" s="251"/>
      <c r="AH67" s="251"/>
    </row>
    <row r="68" spans="1:34" ht="12.75">
      <c r="A68" s="251"/>
      <c r="B68" s="258"/>
      <c r="C68" s="164" t="s">
        <v>403</v>
      </c>
      <c r="D68" s="121">
        <v>0.38</v>
      </c>
      <c r="E68" s="121">
        <v>0.09</v>
      </c>
      <c r="F68" s="121">
        <v>0.231</v>
      </c>
      <c r="G68" s="121">
        <v>0.9</v>
      </c>
      <c r="H68" s="121" t="s">
        <v>223</v>
      </c>
      <c r="I68" s="121" t="s">
        <v>218</v>
      </c>
      <c r="J68" s="121" t="s">
        <v>219</v>
      </c>
      <c r="K68" s="121" t="s">
        <v>265</v>
      </c>
      <c r="L68" s="121" t="s">
        <v>220</v>
      </c>
      <c r="M68" s="121" t="s">
        <v>250</v>
      </c>
      <c r="N68" s="121" t="s">
        <v>236</v>
      </c>
      <c r="O68" s="167" t="s">
        <v>237</v>
      </c>
      <c r="P68" s="251"/>
      <c r="Q68" s="162" t="str">
        <f t="shared" si="0"/>
        <v>2cX95  </v>
      </c>
      <c r="R68" s="121">
        <v>0.41</v>
      </c>
      <c r="S68" s="121">
        <v>0.074</v>
      </c>
      <c r="T68" s="121">
        <v>0.247</v>
      </c>
      <c r="U68" s="121">
        <v>0.074</v>
      </c>
      <c r="V68" s="121" t="s">
        <v>230</v>
      </c>
      <c r="W68" s="121" t="s">
        <v>214</v>
      </c>
      <c r="X68" s="121" t="s">
        <v>404</v>
      </c>
      <c r="Y68" s="121" t="s">
        <v>246</v>
      </c>
      <c r="Z68" s="121" t="s">
        <v>228</v>
      </c>
      <c r="AA68" s="121" t="s">
        <v>266</v>
      </c>
      <c r="AB68" s="121" t="s">
        <v>405</v>
      </c>
      <c r="AC68" s="167" t="s">
        <v>244</v>
      </c>
      <c r="AD68" s="252"/>
      <c r="AE68" s="251"/>
      <c r="AF68" s="251"/>
      <c r="AG68" s="251"/>
      <c r="AH68" s="251"/>
    </row>
    <row r="69" spans="1:34" ht="12.75">
      <c r="A69" s="251"/>
      <c r="B69" s="258"/>
      <c r="C69" s="164" t="s">
        <v>406</v>
      </c>
      <c r="D69" s="121">
        <v>0.3</v>
      </c>
      <c r="E69" s="121">
        <v>0.087</v>
      </c>
      <c r="F69" s="121">
        <v>0.184</v>
      </c>
      <c r="G69" s="121">
        <v>0.087</v>
      </c>
      <c r="H69" s="121" t="s">
        <v>228</v>
      </c>
      <c r="I69" s="121" t="s">
        <v>223</v>
      </c>
      <c r="J69" s="121" t="s">
        <v>228</v>
      </c>
      <c r="K69" s="121" t="s">
        <v>302</v>
      </c>
      <c r="L69" s="121" t="s">
        <v>241</v>
      </c>
      <c r="M69" s="121" t="s">
        <v>240</v>
      </c>
      <c r="N69" s="121" t="s">
        <v>248</v>
      </c>
      <c r="O69" s="167" t="s">
        <v>249</v>
      </c>
      <c r="P69" s="251"/>
      <c r="Q69" s="162" t="str">
        <f t="shared" si="0"/>
        <v>2cX120  </v>
      </c>
      <c r="R69" s="121">
        <v>0.33</v>
      </c>
      <c r="S69" s="121">
        <v>0.072</v>
      </c>
      <c r="T69" s="121">
        <v>0.196</v>
      </c>
      <c r="U69" s="121">
        <v>0.072</v>
      </c>
      <c r="V69" s="121" t="s">
        <v>229</v>
      </c>
      <c r="W69" s="121" t="s">
        <v>219</v>
      </c>
      <c r="X69" s="121" t="s">
        <v>407</v>
      </c>
      <c r="Y69" s="121" t="s">
        <v>278</v>
      </c>
      <c r="Z69" s="121" t="s">
        <v>265</v>
      </c>
      <c r="AA69" s="121" t="s">
        <v>242</v>
      </c>
      <c r="AB69" s="121" t="s">
        <v>253</v>
      </c>
      <c r="AC69" s="167" t="s">
        <v>254</v>
      </c>
      <c r="AD69" s="252"/>
      <c r="AE69" s="251"/>
      <c r="AF69" s="251"/>
      <c r="AG69" s="251"/>
      <c r="AH69" s="251"/>
    </row>
    <row r="70" spans="1:34" ht="12.75">
      <c r="A70" s="251"/>
      <c r="B70" s="258"/>
      <c r="C70" s="164" t="s">
        <v>408</v>
      </c>
      <c r="D70" s="121">
        <v>0.25</v>
      </c>
      <c r="E70" s="121">
        <v>0.087</v>
      </c>
      <c r="F70" s="121">
        <v>0.149</v>
      </c>
      <c r="G70" s="121">
        <v>0.087</v>
      </c>
      <c r="H70" s="121" t="s">
        <v>265</v>
      </c>
      <c r="I70" s="121" t="s">
        <v>228</v>
      </c>
      <c r="J70" s="121" t="s">
        <v>265</v>
      </c>
      <c r="K70" s="121" t="s">
        <v>290</v>
      </c>
      <c r="L70" s="121" t="s">
        <v>231</v>
      </c>
      <c r="M70" s="121" t="s">
        <v>267</v>
      </c>
      <c r="N70" s="121" t="s">
        <v>257</v>
      </c>
      <c r="O70" s="167" t="s">
        <v>409</v>
      </c>
      <c r="P70" s="251"/>
      <c r="Q70" s="162" t="str">
        <f t="shared" si="0"/>
        <v>2cX150  </v>
      </c>
      <c r="R70" s="121">
        <v>0.27</v>
      </c>
      <c r="S70" s="121">
        <v>0.072</v>
      </c>
      <c r="T70" s="121">
        <v>0.159</v>
      </c>
      <c r="U70" s="121">
        <v>0.072</v>
      </c>
      <c r="V70" s="121" t="s">
        <v>239</v>
      </c>
      <c r="W70" s="121" t="s">
        <v>228</v>
      </c>
      <c r="X70" s="121" t="s">
        <v>410</v>
      </c>
      <c r="Y70" s="121" t="s">
        <v>411</v>
      </c>
      <c r="Z70" s="121" t="s">
        <v>231</v>
      </c>
      <c r="AA70" s="121" t="s">
        <v>289</v>
      </c>
      <c r="AB70" s="121" t="s">
        <v>262</v>
      </c>
      <c r="AC70" s="167" t="s">
        <v>263</v>
      </c>
      <c r="AD70" s="252"/>
      <c r="AE70" s="251"/>
      <c r="AF70" s="251"/>
      <c r="AG70" s="251"/>
      <c r="AH70" s="251"/>
    </row>
    <row r="71" spans="1:34" ht="12.75">
      <c r="A71" s="251"/>
      <c r="B71" s="258"/>
      <c r="C71" s="164" t="s">
        <v>412</v>
      </c>
      <c r="D71" s="121">
        <v>0.2</v>
      </c>
      <c r="E71" s="121">
        <v>0.087</v>
      </c>
      <c r="F71" s="121">
        <v>0.12</v>
      </c>
      <c r="G71" s="121">
        <v>0.087</v>
      </c>
      <c r="H71" s="121" t="s">
        <v>302</v>
      </c>
      <c r="I71" s="121" t="s">
        <v>265</v>
      </c>
      <c r="J71" s="121" t="s">
        <v>302</v>
      </c>
      <c r="K71" s="121" t="s">
        <v>413</v>
      </c>
      <c r="L71" s="121" t="s">
        <v>251</v>
      </c>
      <c r="M71" s="121" t="s">
        <v>413</v>
      </c>
      <c r="N71" s="121" t="s">
        <v>262</v>
      </c>
      <c r="O71" s="167" t="s">
        <v>414</v>
      </c>
      <c r="P71" s="251"/>
      <c r="Q71" s="162" t="str">
        <f t="shared" si="0"/>
        <v>2cX185  </v>
      </c>
      <c r="R71" s="121">
        <v>0.21</v>
      </c>
      <c r="S71" s="121">
        <v>0.072</v>
      </c>
      <c r="T71" s="121">
        <v>0.127</v>
      </c>
      <c r="U71" s="121">
        <v>0.072</v>
      </c>
      <c r="V71" s="121" t="s">
        <v>278</v>
      </c>
      <c r="W71" s="121" t="s">
        <v>241</v>
      </c>
      <c r="X71" s="121" t="s">
        <v>415</v>
      </c>
      <c r="Y71" s="121" t="s">
        <v>313</v>
      </c>
      <c r="Z71" s="121" t="s">
        <v>251</v>
      </c>
      <c r="AA71" s="121" t="s">
        <v>284</v>
      </c>
      <c r="AB71" s="121" t="s">
        <v>274</v>
      </c>
      <c r="AC71" s="167" t="s">
        <v>275</v>
      </c>
      <c r="AD71" s="252"/>
      <c r="AE71" s="251"/>
      <c r="AF71" s="251"/>
      <c r="AG71" s="251"/>
      <c r="AH71" s="251"/>
    </row>
    <row r="72" spans="1:34" ht="12.75">
      <c r="A72" s="251"/>
      <c r="B72" s="258"/>
      <c r="C72" s="164" t="s">
        <v>416</v>
      </c>
      <c r="D72" s="121">
        <v>0.15</v>
      </c>
      <c r="E72" s="121">
        <v>0.087</v>
      </c>
      <c r="F72" s="121">
        <v>0.091</v>
      </c>
      <c r="G72" s="121">
        <v>0.087</v>
      </c>
      <c r="H72" s="121" t="s">
        <v>256</v>
      </c>
      <c r="I72" s="121" t="s">
        <v>302</v>
      </c>
      <c r="J72" s="121" t="s">
        <v>301</v>
      </c>
      <c r="K72" s="121" t="s">
        <v>417</v>
      </c>
      <c r="L72" s="121" t="s">
        <v>277</v>
      </c>
      <c r="M72" s="121" t="s">
        <v>418</v>
      </c>
      <c r="N72" s="121" t="s">
        <v>280</v>
      </c>
      <c r="O72" s="167" t="s">
        <v>419</v>
      </c>
      <c r="P72" s="251"/>
      <c r="Q72" s="162" t="str">
        <f t="shared" si="0"/>
        <v>2cX240  </v>
      </c>
      <c r="R72" s="121">
        <v>0.16</v>
      </c>
      <c r="S72" s="121">
        <v>0.072</v>
      </c>
      <c r="T72" s="121">
        <v>0.0965</v>
      </c>
      <c r="U72" s="121">
        <v>0.072</v>
      </c>
      <c r="V72" s="121" t="s">
        <v>301</v>
      </c>
      <c r="W72" s="121" t="s">
        <v>231</v>
      </c>
      <c r="X72" s="121" t="s">
        <v>420</v>
      </c>
      <c r="Y72" s="121" t="s">
        <v>418</v>
      </c>
      <c r="Z72" s="121" t="s">
        <v>413</v>
      </c>
      <c r="AA72" s="121" t="s">
        <v>421</v>
      </c>
      <c r="AB72" s="121" t="s">
        <v>286</v>
      </c>
      <c r="AC72" s="167" t="s">
        <v>287</v>
      </c>
      <c r="AD72" s="252"/>
      <c r="AE72" s="251"/>
      <c r="AF72" s="251"/>
      <c r="AG72" s="251"/>
      <c r="AH72" s="251"/>
    </row>
    <row r="73" spans="1:34" ht="12.75">
      <c r="A73" s="251"/>
      <c r="B73" s="258"/>
      <c r="C73" s="164" t="s">
        <v>422</v>
      </c>
      <c r="D73" s="121">
        <v>0.12</v>
      </c>
      <c r="E73" s="121">
        <v>0.086</v>
      </c>
      <c r="F73" s="121">
        <v>0.073</v>
      </c>
      <c r="G73" s="121">
        <v>0.086</v>
      </c>
      <c r="H73" s="121" t="s">
        <v>313</v>
      </c>
      <c r="I73" s="121" t="s">
        <v>267</v>
      </c>
      <c r="J73" s="121" t="s">
        <v>423</v>
      </c>
      <c r="K73" s="121" t="s">
        <v>283</v>
      </c>
      <c r="L73" s="121" t="s">
        <v>272</v>
      </c>
      <c r="M73" s="121" t="s">
        <v>424</v>
      </c>
      <c r="N73" s="121" t="s">
        <v>292</v>
      </c>
      <c r="O73" s="167" t="s">
        <v>425</v>
      </c>
      <c r="P73" s="251"/>
      <c r="Q73" s="162" t="str">
        <f t="shared" si="0"/>
        <v>2cX300  </v>
      </c>
      <c r="R73" s="121">
        <v>0.13</v>
      </c>
      <c r="S73" s="121">
        <v>0.071</v>
      </c>
      <c r="T73" s="121">
        <v>0.0769</v>
      </c>
      <c r="U73" s="121">
        <v>0.071</v>
      </c>
      <c r="V73" s="121" t="s">
        <v>269</v>
      </c>
      <c r="W73" s="121" t="s">
        <v>267</v>
      </c>
      <c r="X73" s="121" t="s">
        <v>426</v>
      </c>
      <c r="Y73" s="121" t="s">
        <v>427</v>
      </c>
      <c r="Z73" s="121" t="s">
        <v>294</v>
      </c>
      <c r="AA73" s="121" t="s">
        <v>285</v>
      </c>
      <c r="AB73" s="121" t="s">
        <v>298</v>
      </c>
      <c r="AC73" s="167" t="s">
        <v>299</v>
      </c>
      <c r="AD73" s="252"/>
      <c r="AE73" s="251"/>
      <c r="AF73" s="251"/>
      <c r="AG73" s="251"/>
      <c r="AH73" s="251"/>
    </row>
    <row r="74" spans="1:34" ht="12.75">
      <c r="A74" s="251"/>
      <c r="B74" s="258"/>
      <c r="C74" s="164" t="s">
        <v>428</v>
      </c>
      <c r="D74" s="121">
        <v>0.09</v>
      </c>
      <c r="E74" s="121">
        <v>0.086</v>
      </c>
      <c r="F74" s="121">
        <v>0.059</v>
      </c>
      <c r="G74" s="121">
        <v>0.086</v>
      </c>
      <c r="H74" s="121" t="s">
        <v>272</v>
      </c>
      <c r="I74" s="121" t="s">
        <v>277</v>
      </c>
      <c r="J74" s="121" t="s">
        <v>429</v>
      </c>
      <c r="K74" s="121" t="s">
        <v>296</v>
      </c>
      <c r="L74" s="121" t="s">
        <v>329</v>
      </c>
      <c r="M74" s="121" t="s">
        <v>319</v>
      </c>
      <c r="N74" s="121" t="s">
        <v>305</v>
      </c>
      <c r="O74" s="167" t="s">
        <v>430</v>
      </c>
      <c r="P74" s="251"/>
      <c r="Q74" s="162" t="str">
        <f t="shared" si="0"/>
        <v>2cX400  </v>
      </c>
      <c r="R74" s="121">
        <v>0.1</v>
      </c>
      <c r="S74" s="121">
        <v>0.07</v>
      </c>
      <c r="T74" s="121">
        <v>0.0602</v>
      </c>
      <c r="U74" s="121">
        <v>0.07</v>
      </c>
      <c r="V74" s="121" t="s">
        <v>284</v>
      </c>
      <c r="W74" s="121" t="s">
        <v>413</v>
      </c>
      <c r="X74" s="121" t="s">
        <v>431</v>
      </c>
      <c r="Y74" s="121" t="s">
        <v>432</v>
      </c>
      <c r="Z74" s="121" t="s">
        <v>433</v>
      </c>
      <c r="AA74" s="121" t="s">
        <v>297</v>
      </c>
      <c r="AB74" s="121" t="s">
        <v>310</v>
      </c>
      <c r="AC74" s="167" t="s">
        <v>311</v>
      </c>
      <c r="AD74" s="252"/>
      <c r="AE74" s="251"/>
      <c r="AF74" s="251"/>
      <c r="AG74" s="251"/>
      <c r="AH74" s="251"/>
    </row>
    <row r="75" spans="1:34" ht="12.75">
      <c r="A75" s="251"/>
      <c r="B75" s="258"/>
      <c r="C75" s="164" t="s">
        <v>434</v>
      </c>
      <c r="D75" s="121">
        <v>0.09</v>
      </c>
      <c r="E75" s="121">
        <v>0.086</v>
      </c>
      <c r="F75" s="121">
        <v>0.059</v>
      </c>
      <c r="G75" s="121">
        <v>0.086</v>
      </c>
      <c r="H75" s="121" t="s">
        <v>279</v>
      </c>
      <c r="I75" s="121" t="s">
        <v>252</v>
      </c>
      <c r="J75" s="121" t="s">
        <v>291</v>
      </c>
      <c r="K75" s="121" t="s">
        <v>435</v>
      </c>
      <c r="L75" s="121" t="s">
        <v>427</v>
      </c>
      <c r="M75" s="121" t="s">
        <v>307</v>
      </c>
      <c r="N75" s="121" t="s">
        <v>314</v>
      </c>
      <c r="O75" s="167" t="s">
        <v>436</v>
      </c>
      <c r="P75" s="251"/>
      <c r="Q75" s="162" t="str">
        <f t="shared" si="0"/>
        <v>2cX500  </v>
      </c>
      <c r="R75" s="121">
        <v>0.1</v>
      </c>
      <c r="S75" s="121">
        <v>0.07</v>
      </c>
      <c r="T75" s="121">
        <v>0.0602</v>
      </c>
      <c r="U75" s="121">
        <v>0.07</v>
      </c>
      <c r="V75" s="121" t="s">
        <v>437</v>
      </c>
      <c r="W75" s="121" t="s">
        <v>417</v>
      </c>
      <c r="X75" s="121" t="s">
        <v>438</v>
      </c>
      <c r="Y75" s="121" t="s">
        <v>439</v>
      </c>
      <c r="Z75" s="121" t="s">
        <v>308</v>
      </c>
      <c r="AA75" s="121" t="s">
        <v>440</v>
      </c>
      <c r="AB75" s="121" t="s">
        <v>321</v>
      </c>
      <c r="AC75" s="167" t="s">
        <v>322</v>
      </c>
      <c r="AD75" s="252"/>
      <c r="AE75" s="251"/>
      <c r="AF75" s="251"/>
      <c r="AG75" s="251"/>
      <c r="AH75" s="251"/>
    </row>
    <row r="76" spans="1:34" ht="12.75">
      <c r="A76" s="251"/>
      <c r="B76" s="258"/>
      <c r="C76" s="164" t="s">
        <v>441</v>
      </c>
      <c r="D76" s="121">
        <v>0.09</v>
      </c>
      <c r="E76" s="121">
        <v>0.086</v>
      </c>
      <c r="F76" s="121">
        <v>0.059</v>
      </c>
      <c r="G76" s="121">
        <v>0.086</v>
      </c>
      <c r="H76" s="121" t="s">
        <v>424</v>
      </c>
      <c r="I76" s="121" t="s">
        <v>347</v>
      </c>
      <c r="J76" s="121" t="s">
        <v>435</v>
      </c>
      <c r="K76" s="121" t="s">
        <v>442</v>
      </c>
      <c r="L76" s="121" t="s">
        <v>304</v>
      </c>
      <c r="M76" s="121" t="s">
        <v>443</v>
      </c>
      <c r="N76" s="121" t="s">
        <v>326</v>
      </c>
      <c r="O76" s="167" t="s">
        <v>444</v>
      </c>
      <c r="P76" s="251"/>
      <c r="Q76" s="162" t="str">
        <f t="shared" si="0"/>
        <v>2cX630  </v>
      </c>
      <c r="R76" s="121">
        <v>0.1</v>
      </c>
      <c r="S76" s="121">
        <v>0.07</v>
      </c>
      <c r="T76" s="121">
        <v>0.0602</v>
      </c>
      <c r="U76" s="121">
        <v>0.07</v>
      </c>
      <c r="V76" s="121" t="s">
        <v>445</v>
      </c>
      <c r="W76" s="121" t="s">
        <v>324</v>
      </c>
      <c r="X76" s="121" t="s">
        <v>446</v>
      </c>
      <c r="Y76" s="121" t="s">
        <v>331</v>
      </c>
      <c r="Z76" s="121" t="s">
        <v>447</v>
      </c>
      <c r="AA76" s="121" t="s">
        <v>448</v>
      </c>
      <c r="AB76" s="121" t="s">
        <v>333</v>
      </c>
      <c r="AC76" s="167" t="s">
        <v>334</v>
      </c>
      <c r="AD76" s="252"/>
      <c r="AE76" s="251"/>
      <c r="AF76" s="251"/>
      <c r="AG76" s="251"/>
      <c r="AH76" s="251"/>
    </row>
    <row r="77" spans="1:34" ht="12.75">
      <c r="A77" s="251"/>
      <c r="B77" s="258"/>
      <c r="C77" s="248" t="s">
        <v>98</v>
      </c>
      <c r="D77" s="121">
        <v>21.72</v>
      </c>
      <c r="E77" s="121">
        <v>0.126</v>
      </c>
      <c r="F77" s="121">
        <v>14.5</v>
      </c>
      <c r="G77" s="121">
        <v>0.126</v>
      </c>
      <c r="H77" s="121">
        <v>16</v>
      </c>
      <c r="I77" s="121">
        <v>14</v>
      </c>
      <c r="J77" s="121">
        <v>13</v>
      </c>
      <c r="K77" s="121">
        <v>21</v>
      </c>
      <c r="L77" s="121">
        <v>17</v>
      </c>
      <c r="M77" s="121">
        <v>17</v>
      </c>
      <c r="N77" s="122">
        <v>0.3</v>
      </c>
      <c r="O77" s="170">
        <v>0.4</v>
      </c>
      <c r="P77" s="251"/>
      <c r="Q77" s="162" t="str">
        <f t="shared" si="0"/>
        <v>3cX1.5</v>
      </c>
      <c r="R77" s="121" t="s">
        <v>143</v>
      </c>
      <c r="S77" s="121" t="s">
        <v>143</v>
      </c>
      <c r="T77" s="121" t="s">
        <v>143</v>
      </c>
      <c r="U77" s="121" t="s">
        <v>143</v>
      </c>
      <c r="V77" s="121" t="s">
        <v>143</v>
      </c>
      <c r="W77" s="121" t="s">
        <v>143</v>
      </c>
      <c r="X77" s="121" t="s">
        <v>143</v>
      </c>
      <c r="Y77" s="121" t="s">
        <v>143</v>
      </c>
      <c r="Z77" s="121" t="s">
        <v>143</v>
      </c>
      <c r="AA77" s="121" t="s">
        <v>143</v>
      </c>
      <c r="AB77" s="121" t="s">
        <v>143</v>
      </c>
      <c r="AC77" s="167" t="s">
        <v>143</v>
      </c>
      <c r="AD77" s="252"/>
      <c r="AE77" s="251"/>
      <c r="AF77" s="251"/>
      <c r="AG77" s="251"/>
      <c r="AH77" s="251"/>
    </row>
    <row r="78" spans="1:34" ht="12.75">
      <c r="A78" s="251"/>
      <c r="B78" s="258"/>
      <c r="C78" s="248" t="s">
        <v>99</v>
      </c>
      <c r="D78" s="121">
        <v>14.52</v>
      </c>
      <c r="E78" s="121">
        <v>0.119</v>
      </c>
      <c r="F78" s="121">
        <v>8.87</v>
      </c>
      <c r="G78" s="121">
        <v>0.119</v>
      </c>
      <c r="H78" s="121">
        <v>21</v>
      </c>
      <c r="I78" s="121">
        <v>18</v>
      </c>
      <c r="J78" s="121">
        <v>18</v>
      </c>
      <c r="K78" s="121">
        <v>27</v>
      </c>
      <c r="L78" s="121">
        <v>24</v>
      </c>
      <c r="M78" s="121">
        <v>24</v>
      </c>
      <c r="N78" s="122">
        <v>0.3</v>
      </c>
      <c r="O78" s="170">
        <v>0.4</v>
      </c>
      <c r="P78" s="251"/>
      <c r="Q78" s="162" t="str">
        <f t="shared" si="0"/>
        <v>3cX2.5</v>
      </c>
      <c r="R78" s="121" t="s">
        <v>143</v>
      </c>
      <c r="S78" s="121" t="s">
        <v>143</v>
      </c>
      <c r="T78" s="121" t="s">
        <v>143</v>
      </c>
      <c r="U78" s="121" t="s">
        <v>143</v>
      </c>
      <c r="V78" s="121" t="s">
        <v>143</v>
      </c>
      <c r="W78" s="121" t="s">
        <v>143</v>
      </c>
      <c r="X78" s="121" t="s">
        <v>143</v>
      </c>
      <c r="Y78" s="121" t="s">
        <v>143</v>
      </c>
      <c r="Z78" s="121" t="s">
        <v>143</v>
      </c>
      <c r="AA78" s="121" t="s">
        <v>143</v>
      </c>
      <c r="AB78" s="121" t="s">
        <v>143</v>
      </c>
      <c r="AC78" s="167" t="s">
        <v>143</v>
      </c>
      <c r="AD78" s="252"/>
      <c r="AE78" s="251"/>
      <c r="AF78" s="251"/>
      <c r="AG78" s="251"/>
      <c r="AH78" s="251"/>
    </row>
    <row r="79" spans="1:34" ht="12.75">
      <c r="A79" s="251"/>
      <c r="B79" s="258"/>
      <c r="C79" s="248" t="s">
        <v>100</v>
      </c>
      <c r="D79" s="121">
        <v>8.89</v>
      </c>
      <c r="E79" s="121">
        <v>0.116</v>
      </c>
      <c r="F79" s="121">
        <v>5.52</v>
      </c>
      <c r="G79" s="121">
        <v>0.116</v>
      </c>
      <c r="H79" s="121" t="s">
        <v>361</v>
      </c>
      <c r="I79" s="121" t="s">
        <v>449</v>
      </c>
      <c r="J79" s="121" t="s">
        <v>449</v>
      </c>
      <c r="K79" s="121" t="s">
        <v>450</v>
      </c>
      <c r="L79" s="121" t="s">
        <v>362</v>
      </c>
      <c r="M79" s="121" t="s">
        <v>362</v>
      </c>
      <c r="N79" s="121" t="s">
        <v>147</v>
      </c>
      <c r="O79" s="167" t="s">
        <v>148</v>
      </c>
      <c r="P79" s="251"/>
      <c r="Q79" s="162" t="str">
        <f t="shared" si="0"/>
        <v>3cX4</v>
      </c>
      <c r="R79" s="121">
        <v>1.581</v>
      </c>
      <c r="S79" s="121">
        <v>0.097</v>
      </c>
      <c r="T79" s="121">
        <v>1.581</v>
      </c>
      <c r="U79" s="121">
        <v>0.097</v>
      </c>
      <c r="V79" s="121" t="s">
        <v>360</v>
      </c>
      <c r="W79" s="121" t="s">
        <v>361</v>
      </c>
      <c r="X79" s="121" t="s">
        <v>362</v>
      </c>
      <c r="Y79" s="121" t="s">
        <v>156</v>
      </c>
      <c r="Z79" s="121" t="s">
        <v>154</v>
      </c>
      <c r="AA79" s="121" t="s">
        <v>144</v>
      </c>
      <c r="AB79" s="121" t="s">
        <v>152</v>
      </c>
      <c r="AC79" s="167" t="s">
        <v>153</v>
      </c>
      <c r="AD79" s="252"/>
      <c r="AE79" s="251"/>
      <c r="AF79" s="251"/>
      <c r="AG79" s="251"/>
      <c r="AH79" s="251"/>
    </row>
    <row r="80" spans="1:34" ht="12.75">
      <c r="A80" s="251"/>
      <c r="B80" s="258"/>
      <c r="C80" s="164" t="s">
        <v>451</v>
      </c>
      <c r="D80" s="121">
        <v>5.53</v>
      </c>
      <c r="E80" s="121">
        <v>0.11</v>
      </c>
      <c r="F80" s="121">
        <v>3.69</v>
      </c>
      <c r="G80" s="121">
        <v>0.11</v>
      </c>
      <c r="H80" s="121" t="s">
        <v>146</v>
      </c>
      <c r="I80" s="121" t="s">
        <v>362</v>
      </c>
      <c r="J80" s="121" t="s">
        <v>362</v>
      </c>
      <c r="K80" s="121" t="s">
        <v>151</v>
      </c>
      <c r="L80" s="121" t="s">
        <v>145</v>
      </c>
      <c r="M80" s="121" t="s">
        <v>144</v>
      </c>
      <c r="N80" s="121" t="s">
        <v>157</v>
      </c>
      <c r="O80" s="167" t="s">
        <v>158</v>
      </c>
      <c r="P80" s="251"/>
      <c r="Q80" s="162" t="str">
        <f t="shared" si="0"/>
        <v>3cX 6  </v>
      </c>
      <c r="R80" s="121">
        <v>1.57</v>
      </c>
      <c r="S80" s="121">
        <v>0.097</v>
      </c>
      <c r="T80" s="121">
        <v>1.57</v>
      </c>
      <c r="U80" s="121">
        <v>0.097</v>
      </c>
      <c r="V80" s="121" t="s">
        <v>366</v>
      </c>
      <c r="W80" s="121" t="s">
        <v>154</v>
      </c>
      <c r="X80" s="121" t="s">
        <v>364</v>
      </c>
      <c r="Y80" s="121" t="s">
        <v>367</v>
      </c>
      <c r="Z80" s="121" t="s">
        <v>150</v>
      </c>
      <c r="AA80" s="121" t="s">
        <v>365</v>
      </c>
      <c r="AB80" s="121" t="s">
        <v>162</v>
      </c>
      <c r="AC80" s="167" t="s">
        <v>163</v>
      </c>
      <c r="AD80" s="252"/>
      <c r="AE80" s="251"/>
      <c r="AF80" s="251"/>
      <c r="AG80" s="251"/>
      <c r="AH80" s="251"/>
    </row>
    <row r="81" spans="1:34" ht="12.75">
      <c r="A81" s="251"/>
      <c r="B81" s="258"/>
      <c r="C81" s="164" t="s">
        <v>452</v>
      </c>
      <c r="D81" s="121">
        <v>3.7</v>
      </c>
      <c r="E81" s="121">
        <v>0.1</v>
      </c>
      <c r="F81" s="121">
        <v>2.19</v>
      </c>
      <c r="G81" s="121">
        <v>0.1</v>
      </c>
      <c r="H81" s="121" t="s">
        <v>453</v>
      </c>
      <c r="I81" s="121" t="s">
        <v>144</v>
      </c>
      <c r="J81" s="121" t="s">
        <v>364</v>
      </c>
      <c r="K81" s="121" t="s">
        <v>159</v>
      </c>
      <c r="L81" s="121" t="s">
        <v>365</v>
      </c>
      <c r="M81" s="121" t="s">
        <v>454</v>
      </c>
      <c r="N81" s="121" t="s">
        <v>167</v>
      </c>
      <c r="O81" s="167" t="s">
        <v>168</v>
      </c>
      <c r="P81" s="251"/>
      <c r="Q81" s="162" t="str">
        <f t="shared" si="0"/>
        <v>3cX 10  </v>
      </c>
      <c r="R81" s="121">
        <v>1.55</v>
      </c>
      <c r="S81" s="121">
        <v>0.08</v>
      </c>
      <c r="T81" s="121">
        <v>1.55</v>
      </c>
      <c r="U81" s="121">
        <v>0.08</v>
      </c>
      <c r="V81" s="121" t="s">
        <v>161</v>
      </c>
      <c r="W81" s="121" t="s">
        <v>149</v>
      </c>
      <c r="X81" s="121" t="s">
        <v>371</v>
      </c>
      <c r="Y81" s="121" t="s">
        <v>372</v>
      </c>
      <c r="Z81" s="121" t="s">
        <v>170</v>
      </c>
      <c r="AA81" s="121" t="s">
        <v>373</v>
      </c>
      <c r="AB81" s="121" t="s">
        <v>174</v>
      </c>
      <c r="AC81" s="167" t="s">
        <v>175</v>
      </c>
      <c r="AD81" s="252"/>
      <c r="AE81" s="251"/>
      <c r="AF81" s="251"/>
      <c r="AG81" s="251"/>
      <c r="AH81" s="251"/>
    </row>
    <row r="82" spans="1:34" ht="12.75">
      <c r="A82" s="251"/>
      <c r="B82" s="258"/>
      <c r="C82" s="164" t="s">
        <v>455</v>
      </c>
      <c r="D82" s="121">
        <v>2.29</v>
      </c>
      <c r="E82" s="121">
        <v>0.097</v>
      </c>
      <c r="F82" s="121">
        <v>1.38</v>
      </c>
      <c r="G82" s="121">
        <v>0.097</v>
      </c>
      <c r="H82" s="121" t="s">
        <v>159</v>
      </c>
      <c r="I82" s="121" t="s">
        <v>365</v>
      </c>
      <c r="J82" s="121" t="s">
        <v>164</v>
      </c>
      <c r="K82" s="121" t="s">
        <v>173</v>
      </c>
      <c r="L82" s="121" t="s">
        <v>166</v>
      </c>
      <c r="M82" s="121" t="s">
        <v>176</v>
      </c>
      <c r="N82" s="121" t="s">
        <v>180</v>
      </c>
      <c r="O82" s="167" t="s">
        <v>376</v>
      </c>
      <c r="P82" s="251"/>
      <c r="Q82" s="162" t="str">
        <f t="shared" si="0"/>
        <v>3cX 16  </v>
      </c>
      <c r="R82" s="121">
        <v>1.557</v>
      </c>
      <c r="S82" s="121">
        <v>0.08</v>
      </c>
      <c r="T82" s="121">
        <v>1.557</v>
      </c>
      <c r="U82" s="121">
        <v>0.08</v>
      </c>
      <c r="V82" s="121" t="s">
        <v>172</v>
      </c>
      <c r="W82" s="121" t="s">
        <v>170</v>
      </c>
      <c r="X82" s="121" t="s">
        <v>369</v>
      </c>
      <c r="Y82" s="121" t="s">
        <v>377</v>
      </c>
      <c r="Z82" s="121" t="s">
        <v>172</v>
      </c>
      <c r="AA82" s="121" t="s">
        <v>177</v>
      </c>
      <c r="AB82" s="121" t="s">
        <v>378</v>
      </c>
      <c r="AC82" s="167" t="s">
        <v>379</v>
      </c>
      <c r="AD82" s="252"/>
      <c r="AE82" s="251"/>
      <c r="AF82" s="251"/>
      <c r="AG82" s="251"/>
      <c r="AH82" s="251"/>
    </row>
    <row r="83" spans="1:34" ht="12.75">
      <c r="A83" s="251"/>
      <c r="B83" s="258"/>
      <c r="C83" s="164" t="s">
        <v>456</v>
      </c>
      <c r="D83" s="121">
        <v>1.44</v>
      </c>
      <c r="E83" s="121">
        <v>0.097</v>
      </c>
      <c r="F83" s="121">
        <v>0.87</v>
      </c>
      <c r="G83" s="121">
        <v>0.097</v>
      </c>
      <c r="H83" s="121" t="s">
        <v>381</v>
      </c>
      <c r="I83" s="121" t="s">
        <v>457</v>
      </c>
      <c r="J83" s="121" t="s">
        <v>369</v>
      </c>
      <c r="K83" s="121" t="s">
        <v>193</v>
      </c>
      <c r="L83" s="121" t="s">
        <v>182</v>
      </c>
      <c r="M83" s="121" t="s">
        <v>194</v>
      </c>
      <c r="N83" s="121" t="s">
        <v>191</v>
      </c>
      <c r="O83" s="167" t="s">
        <v>383</v>
      </c>
      <c r="P83" s="251"/>
      <c r="Q83" s="162" t="str">
        <f t="shared" si="0"/>
        <v>3cX 25  </v>
      </c>
      <c r="R83" s="121">
        <v>1.54</v>
      </c>
      <c r="S83" s="121">
        <v>0.08</v>
      </c>
      <c r="T83" s="121">
        <v>0.93</v>
      </c>
      <c r="U83" s="121">
        <v>0.08</v>
      </c>
      <c r="V83" s="121" t="s">
        <v>384</v>
      </c>
      <c r="W83" s="121" t="s">
        <v>171</v>
      </c>
      <c r="X83" s="121" t="s">
        <v>193</v>
      </c>
      <c r="Y83" s="121" t="s">
        <v>212</v>
      </c>
      <c r="Z83" s="121" t="s">
        <v>200</v>
      </c>
      <c r="AA83" s="121" t="s">
        <v>202</v>
      </c>
      <c r="AB83" s="121" t="s">
        <v>385</v>
      </c>
      <c r="AC83" s="167" t="s">
        <v>386</v>
      </c>
      <c r="AD83" s="252"/>
      <c r="AE83" s="251"/>
      <c r="AF83" s="251"/>
      <c r="AG83" s="251"/>
      <c r="AH83" s="251"/>
    </row>
    <row r="84" spans="1:34" ht="12.75">
      <c r="A84" s="251"/>
      <c r="B84" s="258"/>
      <c r="C84" s="164" t="s">
        <v>458</v>
      </c>
      <c r="D84" s="121">
        <v>1.04</v>
      </c>
      <c r="E84" s="121">
        <v>0.097</v>
      </c>
      <c r="F84" s="121">
        <v>0.627</v>
      </c>
      <c r="G84" s="121">
        <v>0.097</v>
      </c>
      <c r="H84" s="121" t="s">
        <v>388</v>
      </c>
      <c r="I84" s="121" t="s">
        <v>173</v>
      </c>
      <c r="J84" s="121" t="s">
        <v>188</v>
      </c>
      <c r="K84" s="121" t="s">
        <v>212</v>
      </c>
      <c r="L84" s="121" t="s">
        <v>193</v>
      </c>
      <c r="M84" s="121" t="s">
        <v>190</v>
      </c>
      <c r="N84" s="121" t="s">
        <v>203</v>
      </c>
      <c r="O84" s="167" t="s">
        <v>389</v>
      </c>
      <c r="P84" s="251"/>
      <c r="Q84" s="162" t="str">
        <f t="shared" si="0"/>
        <v>3cX 35  </v>
      </c>
      <c r="R84" s="121">
        <v>1.11</v>
      </c>
      <c r="S84" s="121">
        <v>0.08</v>
      </c>
      <c r="T84" s="121">
        <v>0.671</v>
      </c>
      <c r="U84" s="121">
        <v>0.08</v>
      </c>
      <c r="V84" s="121" t="s">
        <v>390</v>
      </c>
      <c r="W84" s="121" t="s">
        <v>377</v>
      </c>
      <c r="X84" s="121" t="s">
        <v>205</v>
      </c>
      <c r="Y84" s="121" t="s">
        <v>197</v>
      </c>
      <c r="Z84" s="121" t="s">
        <v>212</v>
      </c>
      <c r="AA84" s="121" t="s">
        <v>207</v>
      </c>
      <c r="AB84" s="121" t="s">
        <v>391</v>
      </c>
      <c r="AC84" s="167" t="s">
        <v>392</v>
      </c>
      <c r="AD84" s="252"/>
      <c r="AE84" s="251"/>
      <c r="AF84" s="251"/>
      <c r="AG84" s="251"/>
      <c r="AH84" s="251"/>
    </row>
    <row r="85" spans="1:34" ht="12.75">
      <c r="A85" s="251"/>
      <c r="B85" s="258"/>
      <c r="C85" s="164" t="s">
        <v>459</v>
      </c>
      <c r="D85" s="121">
        <v>0.77</v>
      </c>
      <c r="E85" s="121">
        <v>0.094</v>
      </c>
      <c r="F85" s="121">
        <v>0.463</v>
      </c>
      <c r="G85" s="121">
        <v>0.094</v>
      </c>
      <c r="H85" s="121" t="s">
        <v>190</v>
      </c>
      <c r="I85" s="121" t="s">
        <v>384</v>
      </c>
      <c r="J85" s="121" t="s">
        <v>201</v>
      </c>
      <c r="K85" s="121" t="s">
        <v>197</v>
      </c>
      <c r="L85" s="121" t="s">
        <v>202</v>
      </c>
      <c r="M85" s="121" t="s">
        <v>206</v>
      </c>
      <c r="N85" s="121" t="s">
        <v>215</v>
      </c>
      <c r="O85" s="167" t="s">
        <v>394</v>
      </c>
      <c r="P85" s="251"/>
      <c r="Q85" s="162" t="str">
        <f t="shared" si="0"/>
        <v>3cX 50  </v>
      </c>
      <c r="R85" s="121">
        <v>0.82</v>
      </c>
      <c r="S85" s="121">
        <v>0.78</v>
      </c>
      <c r="T85" s="121">
        <v>0.495</v>
      </c>
      <c r="U85" s="121">
        <v>0.078</v>
      </c>
      <c r="V85" s="121" t="s">
        <v>208</v>
      </c>
      <c r="W85" s="121" t="s">
        <v>190</v>
      </c>
      <c r="X85" s="121" t="s">
        <v>208</v>
      </c>
      <c r="Y85" s="121" t="s">
        <v>218</v>
      </c>
      <c r="Z85" s="121" t="s">
        <v>197</v>
      </c>
      <c r="AA85" s="121" t="s">
        <v>223</v>
      </c>
      <c r="AB85" s="121" t="s">
        <v>395</v>
      </c>
      <c r="AC85" s="167" t="s">
        <v>396</v>
      </c>
      <c r="AD85" s="252"/>
      <c r="AE85" s="251"/>
      <c r="AF85" s="251"/>
      <c r="AG85" s="251"/>
      <c r="AH85" s="251"/>
    </row>
    <row r="86" spans="1:34" ht="12.75">
      <c r="A86" s="251"/>
      <c r="B86" s="258"/>
      <c r="C86" s="164" t="s">
        <v>460</v>
      </c>
      <c r="D86" s="121">
        <v>0.53</v>
      </c>
      <c r="E86" s="121">
        <v>0.09</v>
      </c>
      <c r="F86" s="121">
        <v>0.321</v>
      </c>
      <c r="G86" s="121">
        <v>0.09</v>
      </c>
      <c r="H86" s="121" t="s">
        <v>206</v>
      </c>
      <c r="I86" s="121" t="s">
        <v>195</v>
      </c>
      <c r="J86" s="121" t="s">
        <v>196</v>
      </c>
      <c r="K86" s="121" t="s">
        <v>209</v>
      </c>
      <c r="L86" s="121" t="s">
        <v>213</v>
      </c>
      <c r="M86" s="121" t="s">
        <v>214</v>
      </c>
      <c r="N86" s="121" t="s">
        <v>225</v>
      </c>
      <c r="O86" s="167" t="s">
        <v>400</v>
      </c>
      <c r="P86" s="251"/>
      <c r="Q86" s="162" t="str">
        <f t="shared" si="0"/>
        <v>3cX 70  </v>
      </c>
      <c r="R86" s="121">
        <v>0.57</v>
      </c>
      <c r="S86" s="121">
        <v>0.077</v>
      </c>
      <c r="T86" s="121">
        <v>0.343</v>
      </c>
      <c r="U86" s="121">
        <v>0.077</v>
      </c>
      <c r="V86" s="121" t="s">
        <v>218</v>
      </c>
      <c r="W86" s="121" t="s">
        <v>208</v>
      </c>
      <c r="X86" s="121" t="s">
        <v>401</v>
      </c>
      <c r="Y86" s="121" t="s">
        <v>228</v>
      </c>
      <c r="Z86" s="121" t="s">
        <v>209</v>
      </c>
      <c r="AA86" s="121" t="s">
        <v>241</v>
      </c>
      <c r="AB86" s="121" t="s">
        <v>402</v>
      </c>
      <c r="AC86" s="167" t="s">
        <v>233</v>
      </c>
      <c r="AD86" s="252"/>
      <c r="AE86" s="251"/>
      <c r="AF86" s="251"/>
      <c r="AG86" s="251"/>
      <c r="AH86" s="251"/>
    </row>
    <row r="87" spans="1:34" ht="12.75">
      <c r="A87" s="251"/>
      <c r="B87" s="258"/>
      <c r="C87" s="164" t="s">
        <v>461</v>
      </c>
      <c r="D87" s="121">
        <v>0.38</v>
      </c>
      <c r="E87" s="121">
        <v>0.9</v>
      </c>
      <c r="F87" s="121">
        <v>0.231</v>
      </c>
      <c r="G87" s="121">
        <v>0.09</v>
      </c>
      <c r="H87" s="121" t="s">
        <v>214</v>
      </c>
      <c r="I87" s="121" t="s">
        <v>208</v>
      </c>
      <c r="J87" s="121" t="s">
        <v>207</v>
      </c>
      <c r="K87" s="121" t="s">
        <v>228</v>
      </c>
      <c r="L87" s="121" t="s">
        <v>209</v>
      </c>
      <c r="M87" s="121" t="s">
        <v>230</v>
      </c>
      <c r="N87" s="121" t="s">
        <v>236</v>
      </c>
      <c r="O87" s="167" t="s">
        <v>462</v>
      </c>
      <c r="P87" s="251"/>
      <c r="Q87" s="162" t="str">
        <f t="shared" si="0"/>
        <v>3cX 95  </v>
      </c>
      <c r="R87" s="121">
        <v>0.41</v>
      </c>
      <c r="S87" s="121">
        <v>0.074</v>
      </c>
      <c r="T87" s="121">
        <v>0.247</v>
      </c>
      <c r="U87" s="121">
        <v>0.074</v>
      </c>
      <c r="V87" s="121" t="s">
        <v>230</v>
      </c>
      <c r="W87" s="121" t="s">
        <v>214</v>
      </c>
      <c r="X87" s="121" t="s">
        <v>404</v>
      </c>
      <c r="Y87" s="121" t="s">
        <v>246</v>
      </c>
      <c r="Z87" s="121" t="s">
        <v>228</v>
      </c>
      <c r="AA87" s="121" t="s">
        <v>266</v>
      </c>
      <c r="AB87" s="121" t="s">
        <v>405</v>
      </c>
      <c r="AC87" s="167" t="s">
        <v>244</v>
      </c>
      <c r="AD87" s="252"/>
      <c r="AE87" s="251"/>
      <c r="AF87" s="251"/>
      <c r="AG87" s="251"/>
      <c r="AH87" s="251"/>
    </row>
    <row r="88" spans="1:34" ht="12.75">
      <c r="A88" s="251"/>
      <c r="B88" s="258"/>
      <c r="C88" s="164" t="s">
        <v>463</v>
      </c>
      <c r="D88" s="121">
        <v>0.3</v>
      </c>
      <c r="E88" s="121">
        <v>0.087</v>
      </c>
      <c r="F88" s="121">
        <v>0.184</v>
      </c>
      <c r="G88" s="121">
        <v>0.087</v>
      </c>
      <c r="H88" s="121" t="s">
        <v>219</v>
      </c>
      <c r="I88" s="121" t="s">
        <v>207</v>
      </c>
      <c r="J88" s="121" t="s">
        <v>399</v>
      </c>
      <c r="K88" s="121" t="s">
        <v>265</v>
      </c>
      <c r="L88" s="121" t="s">
        <v>245</v>
      </c>
      <c r="M88" s="121" t="s">
        <v>250</v>
      </c>
      <c r="N88" s="121" t="s">
        <v>248</v>
      </c>
      <c r="O88" s="167" t="s">
        <v>464</v>
      </c>
      <c r="P88" s="251"/>
      <c r="Q88" s="162" t="str">
        <f t="shared" si="0"/>
        <v>3cX 120  </v>
      </c>
      <c r="R88" s="121">
        <v>0.33</v>
      </c>
      <c r="S88" s="121">
        <v>0.072</v>
      </c>
      <c r="T88" s="121">
        <v>0.196</v>
      </c>
      <c r="U88" s="121">
        <v>0.072</v>
      </c>
      <c r="V88" s="121" t="s">
        <v>229</v>
      </c>
      <c r="W88" s="121" t="s">
        <v>219</v>
      </c>
      <c r="X88" s="121" t="s">
        <v>407</v>
      </c>
      <c r="Y88" s="121" t="s">
        <v>278</v>
      </c>
      <c r="Z88" s="121" t="s">
        <v>265</v>
      </c>
      <c r="AA88" s="121" t="s">
        <v>242</v>
      </c>
      <c r="AB88" s="121" t="s">
        <v>253</v>
      </c>
      <c r="AC88" s="167" t="s">
        <v>254</v>
      </c>
      <c r="AD88" s="252"/>
      <c r="AE88" s="251"/>
      <c r="AF88" s="251"/>
      <c r="AG88" s="251"/>
      <c r="AH88" s="251"/>
    </row>
    <row r="89" spans="1:34" ht="12.75">
      <c r="A89" s="251"/>
      <c r="B89" s="258"/>
      <c r="C89" s="164" t="s">
        <v>465</v>
      </c>
      <c r="D89" s="121">
        <v>0.25</v>
      </c>
      <c r="E89" s="121">
        <v>0.087</v>
      </c>
      <c r="F89" s="121">
        <v>0.149</v>
      </c>
      <c r="G89" s="121">
        <v>0.087</v>
      </c>
      <c r="H89" s="121" t="s">
        <v>228</v>
      </c>
      <c r="I89" s="121" t="s">
        <v>209</v>
      </c>
      <c r="J89" s="121" t="s">
        <v>224</v>
      </c>
      <c r="K89" s="121" t="s">
        <v>231</v>
      </c>
      <c r="L89" s="121" t="s">
        <v>229</v>
      </c>
      <c r="M89" s="121" t="s">
        <v>240</v>
      </c>
      <c r="N89" s="121" t="s">
        <v>257</v>
      </c>
      <c r="O89" s="167" t="s">
        <v>409</v>
      </c>
      <c r="P89" s="251"/>
      <c r="Q89" s="162" t="str">
        <f t="shared" si="0"/>
        <v>3cX 150  </v>
      </c>
      <c r="R89" s="121">
        <v>0.27</v>
      </c>
      <c r="S89" s="121">
        <v>0.072</v>
      </c>
      <c r="T89" s="121">
        <v>0.159</v>
      </c>
      <c r="U89" s="121">
        <v>0.072</v>
      </c>
      <c r="V89" s="121" t="s">
        <v>239</v>
      </c>
      <c r="W89" s="121" t="s">
        <v>228</v>
      </c>
      <c r="X89" s="121" t="s">
        <v>410</v>
      </c>
      <c r="Y89" s="121" t="s">
        <v>411</v>
      </c>
      <c r="Z89" s="121" t="s">
        <v>231</v>
      </c>
      <c r="AA89" s="121" t="s">
        <v>289</v>
      </c>
      <c r="AB89" s="121" t="s">
        <v>262</v>
      </c>
      <c r="AC89" s="167" t="s">
        <v>263</v>
      </c>
      <c r="AD89" s="252"/>
      <c r="AE89" s="251"/>
      <c r="AF89" s="251"/>
      <c r="AG89" s="251"/>
      <c r="AH89" s="251"/>
    </row>
    <row r="90" spans="1:34" ht="12.75">
      <c r="A90" s="251"/>
      <c r="B90" s="258"/>
      <c r="C90" s="164" t="s">
        <v>466</v>
      </c>
      <c r="D90" s="121">
        <v>0.2</v>
      </c>
      <c r="E90" s="121">
        <v>0.087</v>
      </c>
      <c r="F90" s="121">
        <v>0.12</v>
      </c>
      <c r="G90" s="121">
        <v>0.087</v>
      </c>
      <c r="H90" s="121" t="s">
        <v>241</v>
      </c>
      <c r="I90" s="121" t="s">
        <v>230</v>
      </c>
      <c r="J90" s="121" t="s">
        <v>265</v>
      </c>
      <c r="K90" s="121" t="s">
        <v>251</v>
      </c>
      <c r="L90" s="121" t="s">
        <v>239</v>
      </c>
      <c r="M90" s="121" t="s">
        <v>267</v>
      </c>
      <c r="N90" s="121" t="s">
        <v>262</v>
      </c>
      <c r="O90" s="167" t="s">
        <v>467</v>
      </c>
      <c r="P90" s="251"/>
      <c r="Q90" s="162" t="str">
        <f t="shared" si="0"/>
        <v>3cX 185  </v>
      </c>
      <c r="R90" s="121">
        <v>0.21</v>
      </c>
      <c r="S90" s="121">
        <v>0.072</v>
      </c>
      <c r="T90" s="121">
        <v>0.127</v>
      </c>
      <c r="U90" s="121">
        <v>0.072</v>
      </c>
      <c r="V90" s="121" t="s">
        <v>278</v>
      </c>
      <c r="W90" s="121" t="s">
        <v>241</v>
      </c>
      <c r="X90" s="121" t="s">
        <v>415</v>
      </c>
      <c r="Y90" s="121" t="s">
        <v>313</v>
      </c>
      <c r="Z90" s="121" t="s">
        <v>251</v>
      </c>
      <c r="AA90" s="121" t="s">
        <v>284</v>
      </c>
      <c r="AB90" s="121" t="s">
        <v>274</v>
      </c>
      <c r="AC90" s="167" t="s">
        <v>275</v>
      </c>
      <c r="AD90" s="252"/>
      <c r="AE90" s="251"/>
      <c r="AF90" s="251"/>
      <c r="AG90" s="251"/>
      <c r="AH90" s="251"/>
    </row>
    <row r="91" spans="1:34" ht="12.75">
      <c r="A91" s="251"/>
      <c r="B91" s="258"/>
      <c r="C91" s="164" t="s">
        <v>468</v>
      </c>
      <c r="D91" s="121">
        <v>0.15</v>
      </c>
      <c r="E91" s="121">
        <v>0.087</v>
      </c>
      <c r="F91" s="121">
        <v>0.0912</v>
      </c>
      <c r="G91" s="121">
        <v>0.087</v>
      </c>
      <c r="H91" s="121" t="s">
        <v>302</v>
      </c>
      <c r="I91" s="121" t="s">
        <v>241</v>
      </c>
      <c r="J91" s="121" t="s">
        <v>247</v>
      </c>
      <c r="K91" s="121" t="s">
        <v>277</v>
      </c>
      <c r="L91" s="121" t="s">
        <v>271</v>
      </c>
      <c r="M91" s="121" t="s">
        <v>313</v>
      </c>
      <c r="N91" s="121" t="s">
        <v>280</v>
      </c>
      <c r="O91" s="167" t="s">
        <v>419</v>
      </c>
      <c r="P91" s="251"/>
      <c r="Q91" s="162" t="str">
        <f t="shared" si="0"/>
        <v>3cX 240  </v>
      </c>
      <c r="R91" s="121">
        <v>0.16</v>
      </c>
      <c r="S91" s="121">
        <v>0.072</v>
      </c>
      <c r="T91" s="121">
        <v>0.0965</v>
      </c>
      <c r="U91" s="121">
        <v>0.072</v>
      </c>
      <c r="V91" s="121" t="s">
        <v>301</v>
      </c>
      <c r="W91" s="121" t="s">
        <v>231</v>
      </c>
      <c r="X91" s="121" t="s">
        <v>420</v>
      </c>
      <c r="Y91" s="121" t="s">
        <v>418</v>
      </c>
      <c r="Z91" s="121" t="s">
        <v>413</v>
      </c>
      <c r="AA91" s="121" t="s">
        <v>421</v>
      </c>
      <c r="AB91" s="121" t="s">
        <v>286</v>
      </c>
      <c r="AC91" s="167" t="s">
        <v>287</v>
      </c>
      <c r="AD91" s="252"/>
      <c r="AE91" s="251"/>
      <c r="AF91" s="251"/>
      <c r="AG91" s="251"/>
      <c r="AH91" s="251"/>
    </row>
    <row r="92" spans="1:34" ht="12.75">
      <c r="A92" s="251"/>
      <c r="B92" s="258"/>
      <c r="C92" s="164" t="s">
        <v>469</v>
      </c>
      <c r="D92" s="121">
        <v>0.12</v>
      </c>
      <c r="E92" s="121">
        <v>0.086</v>
      </c>
      <c r="F92" s="121">
        <v>0.0739</v>
      </c>
      <c r="G92" s="121">
        <v>0.086</v>
      </c>
      <c r="H92" s="121" t="s">
        <v>267</v>
      </c>
      <c r="I92" s="121" t="s">
        <v>268</v>
      </c>
      <c r="J92" s="121" t="s">
        <v>411</v>
      </c>
      <c r="K92" s="121" t="s">
        <v>272</v>
      </c>
      <c r="L92" s="121" t="s">
        <v>260</v>
      </c>
      <c r="M92" s="121" t="s">
        <v>303</v>
      </c>
      <c r="N92" s="121" t="s">
        <v>292</v>
      </c>
      <c r="O92" s="167" t="s">
        <v>425</v>
      </c>
      <c r="P92" s="251"/>
      <c r="Q92" s="162" t="str">
        <f t="shared" si="0"/>
        <v>3cX 300  </v>
      </c>
      <c r="R92" s="121">
        <v>0.13</v>
      </c>
      <c r="S92" s="121">
        <v>0.071</v>
      </c>
      <c r="T92" s="121">
        <v>0.0769</v>
      </c>
      <c r="U92" s="121">
        <v>0.071</v>
      </c>
      <c r="V92" s="121" t="s">
        <v>269</v>
      </c>
      <c r="W92" s="121" t="s">
        <v>267</v>
      </c>
      <c r="X92" s="121" t="s">
        <v>426</v>
      </c>
      <c r="Y92" s="121" t="s">
        <v>427</v>
      </c>
      <c r="Z92" s="121" t="s">
        <v>294</v>
      </c>
      <c r="AA92" s="121" t="s">
        <v>285</v>
      </c>
      <c r="AB92" s="121" t="s">
        <v>298</v>
      </c>
      <c r="AC92" s="167" t="s">
        <v>299</v>
      </c>
      <c r="AD92" s="252"/>
      <c r="AE92" s="251"/>
      <c r="AF92" s="251"/>
      <c r="AG92" s="251"/>
      <c r="AH92" s="251"/>
    </row>
    <row r="93" spans="1:34" ht="12.75">
      <c r="A93" s="251"/>
      <c r="B93" s="258"/>
      <c r="C93" s="164" t="s">
        <v>470</v>
      </c>
      <c r="D93" s="118">
        <v>0.09</v>
      </c>
      <c r="E93" s="118">
        <v>0.086</v>
      </c>
      <c r="F93" s="118">
        <v>0.0592</v>
      </c>
      <c r="G93" s="118">
        <v>0.086</v>
      </c>
      <c r="H93" s="118" t="s">
        <v>260</v>
      </c>
      <c r="I93" s="118" t="s">
        <v>266</v>
      </c>
      <c r="J93" s="118" t="s">
        <v>289</v>
      </c>
      <c r="K93" s="118" t="s">
        <v>279</v>
      </c>
      <c r="L93" s="118" t="s">
        <v>471</v>
      </c>
      <c r="M93" s="118" t="s">
        <v>284</v>
      </c>
      <c r="N93" s="118" t="s">
        <v>305</v>
      </c>
      <c r="O93" s="163" t="s">
        <v>430</v>
      </c>
      <c r="P93" s="251"/>
      <c r="Q93" s="162" t="str">
        <f t="shared" si="0"/>
        <v>3cX 400  </v>
      </c>
      <c r="R93" s="118">
        <v>0.1</v>
      </c>
      <c r="S93" s="118">
        <v>0.07</v>
      </c>
      <c r="T93" s="118">
        <v>0.0602</v>
      </c>
      <c r="U93" s="118">
        <v>0.07</v>
      </c>
      <c r="V93" s="118" t="s">
        <v>284</v>
      </c>
      <c r="W93" s="118" t="s">
        <v>413</v>
      </c>
      <c r="X93" s="118" t="s">
        <v>431</v>
      </c>
      <c r="Y93" s="118" t="s">
        <v>432</v>
      </c>
      <c r="Z93" s="118" t="s">
        <v>433</v>
      </c>
      <c r="AA93" s="118" t="s">
        <v>297</v>
      </c>
      <c r="AB93" s="118" t="s">
        <v>310</v>
      </c>
      <c r="AC93" s="163" t="s">
        <v>311</v>
      </c>
      <c r="AD93" s="252"/>
      <c r="AE93" s="251"/>
      <c r="AF93" s="251"/>
      <c r="AG93" s="251"/>
      <c r="AH93" s="251"/>
    </row>
    <row r="94" spans="1:34" ht="12.75">
      <c r="A94" s="251"/>
      <c r="B94" s="258"/>
      <c r="C94" s="164" t="s">
        <v>472</v>
      </c>
      <c r="D94" s="118">
        <v>0.09</v>
      </c>
      <c r="E94" s="118">
        <v>0.086</v>
      </c>
      <c r="F94" s="118">
        <v>0.0592</v>
      </c>
      <c r="G94" s="118">
        <v>0.086</v>
      </c>
      <c r="H94" s="118" t="s">
        <v>269</v>
      </c>
      <c r="I94" s="118" t="s">
        <v>256</v>
      </c>
      <c r="J94" s="118" t="s">
        <v>279</v>
      </c>
      <c r="K94" s="118" t="s">
        <v>324</v>
      </c>
      <c r="L94" s="118" t="s">
        <v>294</v>
      </c>
      <c r="M94" s="118" t="s">
        <v>432</v>
      </c>
      <c r="N94" s="118" t="s">
        <v>314</v>
      </c>
      <c r="O94" s="163" t="s">
        <v>436</v>
      </c>
      <c r="P94" s="251"/>
      <c r="Q94" s="162" t="str">
        <f t="shared" si="0"/>
        <v>3cX 500  </v>
      </c>
      <c r="R94" s="118">
        <v>0.1</v>
      </c>
      <c r="S94" s="118">
        <v>0.07</v>
      </c>
      <c r="T94" s="118">
        <v>0.0602</v>
      </c>
      <c r="U94" s="118">
        <v>0.07</v>
      </c>
      <c r="V94" s="118" t="s">
        <v>437</v>
      </c>
      <c r="W94" s="118" t="s">
        <v>417</v>
      </c>
      <c r="X94" s="118" t="s">
        <v>438</v>
      </c>
      <c r="Y94" s="118" t="s">
        <v>439</v>
      </c>
      <c r="Z94" s="118" t="s">
        <v>308</v>
      </c>
      <c r="AA94" s="118" t="s">
        <v>440</v>
      </c>
      <c r="AB94" s="118" t="s">
        <v>321</v>
      </c>
      <c r="AC94" s="163" t="s">
        <v>322</v>
      </c>
      <c r="AD94" s="252"/>
      <c r="AE94" s="251"/>
      <c r="AF94" s="251"/>
      <c r="AG94" s="251"/>
      <c r="AH94" s="251"/>
    </row>
    <row r="95" spans="1:34" ht="12.75">
      <c r="A95" s="251"/>
      <c r="B95" s="258"/>
      <c r="C95" s="164" t="s">
        <v>473</v>
      </c>
      <c r="D95" s="118">
        <v>0.09</v>
      </c>
      <c r="E95" s="118">
        <v>0.086</v>
      </c>
      <c r="F95" s="118">
        <v>0.0592</v>
      </c>
      <c r="G95" s="118">
        <v>0.086</v>
      </c>
      <c r="H95" s="118" t="s">
        <v>417</v>
      </c>
      <c r="I95" s="118" t="s">
        <v>413</v>
      </c>
      <c r="J95" s="118" t="s">
        <v>308</v>
      </c>
      <c r="K95" s="118" t="s">
        <v>328</v>
      </c>
      <c r="L95" s="118" t="s">
        <v>324</v>
      </c>
      <c r="M95" s="118" t="s">
        <v>474</v>
      </c>
      <c r="N95" s="118" t="s">
        <v>326</v>
      </c>
      <c r="O95" s="163" t="s">
        <v>475</v>
      </c>
      <c r="P95" s="251"/>
      <c r="Q95" s="162" t="str">
        <f t="shared" si="0"/>
        <v>3cX 630  </v>
      </c>
      <c r="R95" s="118">
        <v>0.1</v>
      </c>
      <c r="S95" s="118">
        <v>0.07</v>
      </c>
      <c r="T95" s="118">
        <v>0.0602</v>
      </c>
      <c r="U95" s="118">
        <v>0.07</v>
      </c>
      <c r="V95" s="118" t="s">
        <v>445</v>
      </c>
      <c r="W95" s="118" t="s">
        <v>324</v>
      </c>
      <c r="X95" s="118" t="s">
        <v>446</v>
      </c>
      <c r="Y95" s="118" t="s">
        <v>331</v>
      </c>
      <c r="Z95" s="118" t="s">
        <v>447</v>
      </c>
      <c r="AA95" s="118" t="s">
        <v>448</v>
      </c>
      <c r="AB95" s="118" t="s">
        <v>333</v>
      </c>
      <c r="AC95" s="163" t="s">
        <v>334</v>
      </c>
      <c r="AD95" s="252"/>
      <c r="AE95" s="251"/>
      <c r="AF95" s="251"/>
      <c r="AG95" s="251"/>
      <c r="AH95" s="251"/>
    </row>
    <row r="96" spans="1:34" ht="12.75">
      <c r="A96" s="251"/>
      <c r="B96" s="258"/>
      <c r="C96" s="164" t="s">
        <v>476</v>
      </c>
      <c r="D96" s="118">
        <v>1.44</v>
      </c>
      <c r="E96" s="118">
        <v>0.097</v>
      </c>
      <c r="F96" s="118">
        <v>0.73</v>
      </c>
      <c r="G96" s="118">
        <v>0.097</v>
      </c>
      <c r="H96" s="118">
        <v>70</v>
      </c>
      <c r="I96" s="118">
        <v>65</v>
      </c>
      <c r="J96" s="118">
        <v>62</v>
      </c>
      <c r="K96" s="118">
        <v>99</v>
      </c>
      <c r="L96" s="118">
        <v>81</v>
      </c>
      <c r="M96" s="118">
        <v>90</v>
      </c>
      <c r="N96" s="119">
        <v>1.8</v>
      </c>
      <c r="O96" s="171">
        <v>2.5</v>
      </c>
      <c r="P96" s="251"/>
      <c r="Q96" s="162" t="str">
        <f t="shared" si="0"/>
        <v> 3.5X16</v>
      </c>
      <c r="R96" s="118" t="s">
        <v>143</v>
      </c>
      <c r="S96" s="118" t="s">
        <v>143</v>
      </c>
      <c r="T96" s="118" t="s">
        <v>143</v>
      </c>
      <c r="U96" s="118" t="s">
        <v>143</v>
      </c>
      <c r="V96" s="118" t="s">
        <v>143</v>
      </c>
      <c r="W96" s="118" t="s">
        <v>143</v>
      </c>
      <c r="X96" s="118" t="s">
        <v>143</v>
      </c>
      <c r="Y96" s="118" t="s">
        <v>143</v>
      </c>
      <c r="Z96" s="118" t="s">
        <v>143</v>
      </c>
      <c r="AA96" s="118" t="s">
        <v>143</v>
      </c>
      <c r="AB96" s="118" t="s">
        <v>143</v>
      </c>
      <c r="AC96" s="163" t="s">
        <v>143</v>
      </c>
      <c r="AD96" s="252"/>
      <c r="AE96" s="251"/>
      <c r="AF96" s="251"/>
      <c r="AG96" s="251"/>
      <c r="AH96" s="251"/>
    </row>
    <row r="97" spans="1:34" ht="12.75">
      <c r="A97" s="251"/>
      <c r="B97" s="258"/>
      <c r="C97" s="164" t="s">
        <v>477</v>
      </c>
      <c r="D97" s="118">
        <v>0.77</v>
      </c>
      <c r="E97" s="118">
        <v>0.094</v>
      </c>
      <c r="F97" s="118">
        <v>0.387</v>
      </c>
      <c r="G97" s="118" t="s">
        <v>108</v>
      </c>
      <c r="H97" s="118" t="s">
        <v>381</v>
      </c>
      <c r="I97" s="118" t="s">
        <v>457</v>
      </c>
      <c r="J97" s="118" t="s">
        <v>369</v>
      </c>
      <c r="K97" s="118" t="s">
        <v>193</v>
      </c>
      <c r="L97" s="118" t="s">
        <v>182</v>
      </c>
      <c r="M97" s="118" t="s">
        <v>194</v>
      </c>
      <c r="N97" s="118" t="s">
        <v>478</v>
      </c>
      <c r="O97" s="163" t="s">
        <v>192</v>
      </c>
      <c r="P97" s="251"/>
      <c r="Q97" s="162" t="str">
        <f t="shared" si="0"/>
        <v> 3.5X25</v>
      </c>
      <c r="R97" s="118">
        <v>1.54</v>
      </c>
      <c r="S97" s="118">
        <v>0.08</v>
      </c>
      <c r="T97" s="118">
        <v>0.93</v>
      </c>
      <c r="U97" s="118">
        <v>0.08</v>
      </c>
      <c r="V97" s="118" t="s">
        <v>384</v>
      </c>
      <c r="W97" s="118" t="s">
        <v>171</v>
      </c>
      <c r="X97" s="118" t="s">
        <v>193</v>
      </c>
      <c r="Y97" s="118" t="s">
        <v>212</v>
      </c>
      <c r="Z97" s="118" t="s">
        <v>200</v>
      </c>
      <c r="AA97" s="118" t="s">
        <v>202</v>
      </c>
      <c r="AB97" s="118" t="s">
        <v>385</v>
      </c>
      <c r="AC97" s="163" t="s">
        <v>386</v>
      </c>
      <c r="AD97" s="252"/>
      <c r="AE97" s="251"/>
      <c r="AF97" s="251"/>
      <c r="AG97" s="251"/>
      <c r="AH97" s="251"/>
    </row>
    <row r="98" spans="1:34" ht="12.75">
      <c r="A98" s="251"/>
      <c r="B98" s="258"/>
      <c r="C98" s="164" t="s">
        <v>479</v>
      </c>
      <c r="D98" s="118">
        <v>0.53</v>
      </c>
      <c r="E98" s="118">
        <v>0.09</v>
      </c>
      <c r="F98" s="118">
        <v>0.268</v>
      </c>
      <c r="G98" s="118">
        <v>0.09</v>
      </c>
      <c r="H98" s="118" t="s">
        <v>388</v>
      </c>
      <c r="I98" s="118" t="s">
        <v>173</v>
      </c>
      <c r="J98" s="118" t="s">
        <v>188</v>
      </c>
      <c r="K98" s="118" t="s">
        <v>212</v>
      </c>
      <c r="L98" s="118" t="s">
        <v>193</v>
      </c>
      <c r="M98" s="118" t="s">
        <v>190</v>
      </c>
      <c r="N98" s="118" t="s">
        <v>480</v>
      </c>
      <c r="O98" s="163" t="s">
        <v>204</v>
      </c>
      <c r="P98" s="251"/>
      <c r="Q98" s="162" t="str">
        <f t="shared" si="0"/>
        <v> 3.5X35</v>
      </c>
      <c r="R98" s="118">
        <v>1.11</v>
      </c>
      <c r="S98" s="118">
        <v>0.08</v>
      </c>
      <c r="T98" s="118">
        <v>0.671</v>
      </c>
      <c r="U98" s="118">
        <v>0.08</v>
      </c>
      <c r="V98" s="118" t="s">
        <v>390</v>
      </c>
      <c r="W98" s="118" t="s">
        <v>377</v>
      </c>
      <c r="X98" s="118" t="s">
        <v>205</v>
      </c>
      <c r="Y98" s="118" t="s">
        <v>197</v>
      </c>
      <c r="Z98" s="118" t="s">
        <v>212</v>
      </c>
      <c r="AA98" s="118" t="s">
        <v>207</v>
      </c>
      <c r="AB98" s="118" t="s">
        <v>391</v>
      </c>
      <c r="AC98" s="163" t="s">
        <v>392</v>
      </c>
      <c r="AD98" s="252"/>
      <c r="AE98" s="251"/>
      <c r="AF98" s="251"/>
      <c r="AG98" s="251"/>
      <c r="AH98" s="251"/>
    </row>
    <row r="99" spans="1:34" ht="12.75">
      <c r="A99" s="251"/>
      <c r="B99" s="258"/>
      <c r="C99" s="164" t="s">
        <v>481</v>
      </c>
      <c r="D99" s="118">
        <v>0.38</v>
      </c>
      <c r="E99" s="118">
        <v>0.09</v>
      </c>
      <c r="F99" s="118">
        <v>0.193</v>
      </c>
      <c r="G99" s="118">
        <v>0.09</v>
      </c>
      <c r="H99" s="118" t="s">
        <v>190</v>
      </c>
      <c r="I99" s="118" t="s">
        <v>384</v>
      </c>
      <c r="J99" s="118" t="s">
        <v>201</v>
      </c>
      <c r="K99" s="118" t="s">
        <v>197</v>
      </c>
      <c r="L99" s="118" t="s">
        <v>202</v>
      </c>
      <c r="M99" s="118" t="s">
        <v>206</v>
      </c>
      <c r="N99" s="118" t="s">
        <v>482</v>
      </c>
      <c r="O99" s="163" t="s">
        <v>216</v>
      </c>
      <c r="P99" s="251"/>
      <c r="Q99" s="162" t="str">
        <f t="shared" si="0"/>
        <v> 3.5X50</v>
      </c>
      <c r="R99" s="118">
        <v>0.82</v>
      </c>
      <c r="S99" s="118">
        <v>0.078</v>
      </c>
      <c r="T99" s="118">
        <v>0.0495</v>
      </c>
      <c r="U99" s="118">
        <v>0.078</v>
      </c>
      <c r="V99" s="118" t="s">
        <v>208</v>
      </c>
      <c r="W99" s="118" t="s">
        <v>190</v>
      </c>
      <c r="X99" s="118" t="s">
        <v>208</v>
      </c>
      <c r="Y99" s="118" t="s">
        <v>218</v>
      </c>
      <c r="Z99" s="118" t="s">
        <v>197</v>
      </c>
      <c r="AA99" s="118" t="s">
        <v>223</v>
      </c>
      <c r="AB99" s="118" t="s">
        <v>395</v>
      </c>
      <c r="AC99" s="163" t="s">
        <v>396</v>
      </c>
      <c r="AD99" s="252"/>
      <c r="AE99" s="251"/>
      <c r="AF99" s="251"/>
      <c r="AG99" s="251"/>
      <c r="AH99" s="251"/>
    </row>
    <row r="100" spans="1:34" ht="12.75">
      <c r="A100" s="251"/>
      <c r="B100" s="258"/>
      <c r="C100" s="164" t="s">
        <v>483</v>
      </c>
      <c r="D100" s="118">
        <v>0.3</v>
      </c>
      <c r="E100" s="118">
        <v>0.087</v>
      </c>
      <c r="F100" s="118">
        <v>0.153</v>
      </c>
      <c r="G100" s="118">
        <v>0.087</v>
      </c>
      <c r="H100" s="118" t="s">
        <v>206</v>
      </c>
      <c r="I100" s="118" t="s">
        <v>195</v>
      </c>
      <c r="J100" s="118" t="s">
        <v>196</v>
      </c>
      <c r="K100" s="118" t="s">
        <v>209</v>
      </c>
      <c r="L100" s="118" t="s">
        <v>213</v>
      </c>
      <c r="M100" s="118" t="s">
        <v>214</v>
      </c>
      <c r="N100" s="118" t="s">
        <v>484</v>
      </c>
      <c r="O100" s="163" t="s">
        <v>226</v>
      </c>
      <c r="P100" s="251"/>
      <c r="Q100" s="162" t="str">
        <f t="shared" si="0"/>
        <v> 3.5X70</v>
      </c>
      <c r="R100" s="118">
        <v>0.57</v>
      </c>
      <c r="S100" s="118">
        <v>0.077</v>
      </c>
      <c r="T100" s="118">
        <v>0.343</v>
      </c>
      <c r="U100" s="118">
        <v>0.077</v>
      </c>
      <c r="V100" s="118" t="s">
        <v>218</v>
      </c>
      <c r="W100" s="118" t="s">
        <v>208</v>
      </c>
      <c r="X100" s="118" t="s">
        <v>401</v>
      </c>
      <c r="Y100" s="118" t="s">
        <v>228</v>
      </c>
      <c r="Z100" s="118" t="s">
        <v>209</v>
      </c>
      <c r="AA100" s="118" t="s">
        <v>241</v>
      </c>
      <c r="AB100" s="118" t="s">
        <v>402</v>
      </c>
      <c r="AC100" s="163" t="s">
        <v>233</v>
      </c>
      <c r="AD100" s="252"/>
      <c r="AE100" s="251"/>
      <c r="AF100" s="251"/>
      <c r="AG100" s="251"/>
      <c r="AH100" s="251"/>
    </row>
    <row r="101" spans="1:34" ht="12.75">
      <c r="A101" s="251"/>
      <c r="B101" s="258"/>
      <c r="C101" s="164" t="s">
        <v>485</v>
      </c>
      <c r="D101" s="118">
        <v>0.2</v>
      </c>
      <c r="E101" s="118">
        <v>0.087</v>
      </c>
      <c r="F101" s="118">
        <v>0.099</v>
      </c>
      <c r="G101" s="118">
        <v>0.087</v>
      </c>
      <c r="H101" s="118" t="s">
        <v>214</v>
      </c>
      <c r="I101" s="118" t="s">
        <v>208</v>
      </c>
      <c r="J101" s="118" t="s">
        <v>207</v>
      </c>
      <c r="K101" s="118" t="s">
        <v>228</v>
      </c>
      <c r="L101" s="118" t="s">
        <v>209</v>
      </c>
      <c r="M101" s="118" t="s">
        <v>230</v>
      </c>
      <c r="N101" s="118" t="s">
        <v>486</v>
      </c>
      <c r="O101" s="163" t="s">
        <v>237</v>
      </c>
      <c r="P101" s="251"/>
      <c r="Q101" s="162" t="str">
        <f t="shared" si="0"/>
        <v> 3.5X95</v>
      </c>
      <c r="R101" s="118">
        <v>0.41</v>
      </c>
      <c r="S101" s="118">
        <v>0.074</v>
      </c>
      <c r="T101" s="118">
        <v>0.247</v>
      </c>
      <c r="U101" s="118">
        <v>0.074</v>
      </c>
      <c r="V101" s="118" t="s">
        <v>230</v>
      </c>
      <c r="W101" s="118" t="s">
        <v>214</v>
      </c>
      <c r="X101" s="118" t="s">
        <v>404</v>
      </c>
      <c r="Y101" s="118" t="s">
        <v>246</v>
      </c>
      <c r="Z101" s="118" t="s">
        <v>228</v>
      </c>
      <c r="AA101" s="118" t="s">
        <v>266</v>
      </c>
      <c r="AB101" s="118" t="s">
        <v>405</v>
      </c>
      <c r="AC101" s="163" t="s">
        <v>244</v>
      </c>
      <c r="AD101" s="252"/>
      <c r="AE101" s="251"/>
      <c r="AF101" s="251"/>
      <c r="AG101" s="251"/>
      <c r="AH101" s="251"/>
    </row>
    <row r="102" spans="1:34" ht="12.75">
      <c r="A102" s="251"/>
      <c r="B102" s="258"/>
      <c r="C102" s="164" t="s">
        <v>487</v>
      </c>
      <c r="D102" s="118">
        <v>0.15</v>
      </c>
      <c r="E102" s="118">
        <v>0.087</v>
      </c>
      <c r="F102" s="118">
        <v>0.075</v>
      </c>
      <c r="G102" s="118">
        <v>0.087</v>
      </c>
      <c r="H102" s="118" t="s">
        <v>219</v>
      </c>
      <c r="I102" s="118" t="s">
        <v>207</v>
      </c>
      <c r="J102" s="118" t="s">
        <v>399</v>
      </c>
      <c r="K102" s="118" t="s">
        <v>265</v>
      </c>
      <c r="L102" s="118" t="s">
        <v>245</v>
      </c>
      <c r="M102" s="118" t="s">
        <v>250</v>
      </c>
      <c r="N102" s="118" t="s">
        <v>488</v>
      </c>
      <c r="O102" s="163" t="s">
        <v>249</v>
      </c>
      <c r="P102" s="251"/>
      <c r="Q102" s="162" t="str">
        <f t="shared" si="0"/>
        <v> 3.5X120</v>
      </c>
      <c r="R102" s="118">
        <v>0.33</v>
      </c>
      <c r="S102" s="118">
        <v>0.072</v>
      </c>
      <c r="T102" s="118">
        <v>0.196</v>
      </c>
      <c r="U102" s="118">
        <v>0.072</v>
      </c>
      <c r="V102" s="118" t="s">
        <v>229</v>
      </c>
      <c r="W102" s="118" t="s">
        <v>219</v>
      </c>
      <c r="X102" s="118" t="s">
        <v>407</v>
      </c>
      <c r="Y102" s="118" t="s">
        <v>278</v>
      </c>
      <c r="Z102" s="118" t="s">
        <v>265</v>
      </c>
      <c r="AA102" s="118" t="s">
        <v>242</v>
      </c>
      <c r="AB102" s="118" t="s">
        <v>253</v>
      </c>
      <c r="AC102" s="163" t="s">
        <v>254</v>
      </c>
      <c r="AD102" s="252"/>
      <c r="AE102" s="251"/>
      <c r="AF102" s="251"/>
      <c r="AG102" s="251"/>
      <c r="AH102" s="251"/>
    </row>
    <row r="103" spans="1:34" ht="12.75">
      <c r="A103" s="251"/>
      <c r="B103" s="258"/>
      <c r="C103" s="164" t="s">
        <v>489</v>
      </c>
      <c r="D103" s="118">
        <v>0.12</v>
      </c>
      <c r="E103" s="118">
        <v>0.086</v>
      </c>
      <c r="F103" s="118">
        <v>0.06</v>
      </c>
      <c r="G103" s="118">
        <v>0.086</v>
      </c>
      <c r="H103" s="118" t="s">
        <v>228</v>
      </c>
      <c r="I103" s="118" t="s">
        <v>209</v>
      </c>
      <c r="J103" s="118" t="s">
        <v>224</v>
      </c>
      <c r="K103" s="118" t="s">
        <v>231</v>
      </c>
      <c r="L103" s="118" t="s">
        <v>229</v>
      </c>
      <c r="M103" s="118" t="s">
        <v>240</v>
      </c>
      <c r="N103" s="118" t="s">
        <v>257</v>
      </c>
      <c r="O103" s="163" t="s">
        <v>258</v>
      </c>
      <c r="P103" s="251"/>
      <c r="Q103" s="162" t="str">
        <f t="shared" si="0"/>
        <v> 3.5X150</v>
      </c>
      <c r="R103" s="118">
        <v>0.27</v>
      </c>
      <c r="S103" s="118">
        <v>0.072</v>
      </c>
      <c r="T103" s="118">
        <v>0.159</v>
      </c>
      <c r="U103" s="118">
        <v>0.072</v>
      </c>
      <c r="V103" s="118" t="s">
        <v>239</v>
      </c>
      <c r="W103" s="118" t="s">
        <v>228</v>
      </c>
      <c r="X103" s="118" t="s">
        <v>410</v>
      </c>
      <c r="Y103" s="118" t="s">
        <v>411</v>
      </c>
      <c r="Z103" s="118" t="s">
        <v>231</v>
      </c>
      <c r="AA103" s="118" t="s">
        <v>289</v>
      </c>
      <c r="AB103" s="118" t="s">
        <v>262</v>
      </c>
      <c r="AC103" s="163" t="s">
        <v>263</v>
      </c>
      <c r="AD103" s="252"/>
      <c r="AE103" s="251"/>
      <c r="AF103" s="251"/>
      <c r="AG103" s="251"/>
      <c r="AH103" s="251"/>
    </row>
    <row r="104" spans="1:34" ht="12.75">
      <c r="A104" s="251"/>
      <c r="B104" s="258"/>
      <c r="C104" s="164" t="s">
        <v>490</v>
      </c>
      <c r="D104" s="118">
        <v>0.09</v>
      </c>
      <c r="E104" s="118">
        <v>0.086</v>
      </c>
      <c r="F104" s="118">
        <v>0.047</v>
      </c>
      <c r="G104" s="118">
        <v>0.086</v>
      </c>
      <c r="H104" s="118" t="s">
        <v>241</v>
      </c>
      <c r="I104" s="118" t="s">
        <v>230</v>
      </c>
      <c r="J104" s="118" t="s">
        <v>265</v>
      </c>
      <c r="K104" s="118" t="s">
        <v>251</v>
      </c>
      <c r="L104" s="118" t="s">
        <v>239</v>
      </c>
      <c r="M104" s="118" t="s">
        <v>267</v>
      </c>
      <c r="N104" s="118" t="s">
        <v>262</v>
      </c>
      <c r="O104" s="163" t="s">
        <v>270</v>
      </c>
      <c r="P104" s="251"/>
      <c r="Q104" s="162" t="str">
        <f aca="true" t="shared" si="1" ref="Q104:Q128">C104</f>
        <v> 3.5X185</v>
      </c>
      <c r="R104" s="118">
        <v>0.21</v>
      </c>
      <c r="S104" s="118">
        <v>0.072</v>
      </c>
      <c r="T104" s="118">
        <v>0.127</v>
      </c>
      <c r="U104" s="118">
        <v>0.072</v>
      </c>
      <c r="V104" s="118" t="s">
        <v>278</v>
      </c>
      <c r="W104" s="118" t="s">
        <v>241</v>
      </c>
      <c r="X104" s="118" t="s">
        <v>415</v>
      </c>
      <c r="Y104" s="118" t="s">
        <v>313</v>
      </c>
      <c r="Z104" s="118" t="s">
        <v>251</v>
      </c>
      <c r="AA104" s="118" t="s">
        <v>284</v>
      </c>
      <c r="AB104" s="118" t="s">
        <v>274</v>
      </c>
      <c r="AC104" s="163" t="s">
        <v>275</v>
      </c>
      <c r="AD104" s="252"/>
      <c r="AE104" s="251"/>
      <c r="AF104" s="251"/>
      <c r="AG104" s="251"/>
      <c r="AH104" s="251"/>
    </row>
    <row r="105" spans="1:34" ht="12.75">
      <c r="A105" s="251"/>
      <c r="B105" s="258"/>
      <c r="C105" s="164" t="s">
        <v>491</v>
      </c>
      <c r="D105" s="118">
        <v>0.08</v>
      </c>
      <c r="E105" s="118">
        <v>0.085</v>
      </c>
      <c r="F105" s="118">
        <v>0.046</v>
      </c>
      <c r="G105" s="118">
        <v>0.085</v>
      </c>
      <c r="H105" s="118" t="s">
        <v>302</v>
      </c>
      <c r="I105" s="118" t="s">
        <v>241</v>
      </c>
      <c r="J105" s="118" t="s">
        <v>247</v>
      </c>
      <c r="K105" s="118" t="s">
        <v>277</v>
      </c>
      <c r="L105" s="118" t="s">
        <v>271</v>
      </c>
      <c r="M105" s="118" t="s">
        <v>313</v>
      </c>
      <c r="N105" s="118" t="s">
        <v>280</v>
      </c>
      <c r="O105" s="163" t="s">
        <v>492</v>
      </c>
      <c r="P105" s="251"/>
      <c r="Q105" s="162" t="str">
        <f t="shared" si="1"/>
        <v> 3.5X240</v>
      </c>
      <c r="R105" s="118">
        <v>0.16</v>
      </c>
      <c r="S105" s="118">
        <v>0.072</v>
      </c>
      <c r="T105" s="118">
        <v>0.0965</v>
      </c>
      <c r="U105" s="118">
        <v>0.072</v>
      </c>
      <c r="V105" s="118" t="s">
        <v>301</v>
      </c>
      <c r="W105" s="118" t="s">
        <v>231</v>
      </c>
      <c r="X105" s="118" t="s">
        <v>420</v>
      </c>
      <c r="Y105" s="118" t="s">
        <v>418</v>
      </c>
      <c r="Z105" s="118" t="s">
        <v>413</v>
      </c>
      <c r="AA105" s="118" t="s">
        <v>421</v>
      </c>
      <c r="AB105" s="118" t="s">
        <v>286</v>
      </c>
      <c r="AC105" s="163" t="s">
        <v>287</v>
      </c>
      <c r="AD105" s="252"/>
      <c r="AE105" s="251"/>
      <c r="AF105" s="251"/>
      <c r="AG105" s="251"/>
      <c r="AH105" s="251"/>
    </row>
    <row r="106" spans="1:34" ht="12.75">
      <c r="A106" s="251"/>
      <c r="B106" s="258"/>
      <c r="C106" s="164" t="s">
        <v>493</v>
      </c>
      <c r="D106" s="118">
        <v>0.08</v>
      </c>
      <c r="E106" s="118">
        <v>0.085</v>
      </c>
      <c r="F106" s="118">
        <v>0.046</v>
      </c>
      <c r="G106" s="118">
        <v>0.085</v>
      </c>
      <c r="H106" s="118" t="s">
        <v>267</v>
      </c>
      <c r="I106" s="118" t="s">
        <v>268</v>
      </c>
      <c r="J106" s="118" t="s">
        <v>411</v>
      </c>
      <c r="K106" s="118" t="s">
        <v>272</v>
      </c>
      <c r="L106" s="118" t="s">
        <v>260</v>
      </c>
      <c r="M106" s="118" t="s">
        <v>303</v>
      </c>
      <c r="N106" s="118" t="s">
        <v>292</v>
      </c>
      <c r="O106" s="163" t="s">
        <v>293</v>
      </c>
      <c r="P106" s="251"/>
      <c r="Q106" s="162" t="str">
        <f t="shared" si="1"/>
        <v> 3.5X300</v>
      </c>
      <c r="R106" s="118">
        <v>0.13</v>
      </c>
      <c r="S106" s="118">
        <v>0.071</v>
      </c>
      <c r="T106" s="118">
        <v>0.0769</v>
      </c>
      <c r="U106" s="118">
        <v>0.071</v>
      </c>
      <c r="V106" s="118" t="s">
        <v>269</v>
      </c>
      <c r="W106" s="118" t="s">
        <v>267</v>
      </c>
      <c r="X106" s="118" t="s">
        <v>426</v>
      </c>
      <c r="Y106" s="118" t="s">
        <v>427</v>
      </c>
      <c r="Z106" s="118" t="s">
        <v>294</v>
      </c>
      <c r="AA106" s="118" t="s">
        <v>285</v>
      </c>
      <c r="AB106" s="118" t="s">
        <v>298</v>
      </c>
      <c r="AC106" s="163" t="s">
        <v>299</v>
      </c>
      <c r="AD106" s="252"/>
      <c r="AE106" s="251"/>
      <c r="AF106" s="251"/>
      <c r="AG106" s="251"/>
      <c r="AH106" s="251"/>
    </row>
    <row r="107" spans="1:34" ht="12.75">
      <c r="A107" s="251"/>
      <c r="B107" s="258"/>
      <c r="C107" s="164" t="s">
        <v>494</v>
      </c>
      <c r="D107" s="118">
        <v>0.08</v>
      </c>
      <c r="E107" s="118">
        <v>0.084</v>
      </c>
      <c r="F107" s="118">
        <v>0.045</v>
      </c>
      <c r="G107" s="118">
        <v>0.084</v>
      </c>
      <c r="H107" s="118" t="s">
        <v>260</v>
      </c>
      <c r="I107" s="118" t="s">
        <v>266</v>
      </c>
      <c r="J107" s="118" t="s">
        <v>289</v>
      </c>
      <c r="K107" s="118" t="s">
        <v>279</v>
      </c>
      <c r="L107" s="118" t="s">
        <v>471</v>
      </c>
      <c r="M107" s="118" t="s">
        <v>284</v>
      </c>
      <c r="N107" s="118" t="s">
        <v>305</v>
      </c>
      <c r="O107" s="163" t="s">
        <v>306</v>
      </c>
      <c r="P107" s="251"/>
      <c r="Q107" s="162" t="str">
        <f t="shared" si="1"/>
        <v> 3.5X400</v>
      </c>
      <c r="R107" s="118">
        <v>0.1</v>
      </c>
      <c r="S107" s="118">
        <v>0.07</v>
      </c>
      <c r="T107" s="118">
        <v>0.0602</v>
      </c>
      <c r="U107" s="118">
        <v>0.07</v>
      </c>
      <c r="V107" s="118" t="s">
        <v>284</v>
      </c>
      <c r="W107" s="118" t="s">
        <v>413</v>
      </c>
      <c r="X107" s="118" t="s">
        <v>431</v>
      </c>
      <c r="Y107" s="118" t="s">
        <v>432</v>
      </c>
      <c r="Z107" s="118" t="s">
        <v>433</v>
      </c>
      <c r="AA107" s="118" t="s">
        <v>297</v>
      </c>
      <c r="AB107" s="118" t="s">
        <v>310</v>
      </c>
      <c r="AC107" s="163" t="s">
        <v>311</v>
      </c>
      <c r="AD107" s="252"/>
      <c r="AE107" s="251"/>
      <c r="AF107" s="251"/>
      <c r="AG107" s="251"/>
      <c r="AH107" s="251"/>
    </row>
    <row r="108" spans="1:34" ht="12.75">
      <c r="A108" s="251"/>
      <c r="B108" s="258"/>
      <c r="C108" s="164" t="s">
        <v>495</v>
      </c>
      <c r="D108" s="118">
        <v>0.08</v>
      </c>
      <c r="E108" s="118">
        <v>0.084</v>
      </c>
      <c r="F108" s="118">
        <v>0.045</v>
      </c>
      <c r="G108" s="118">
        <v>0.084</v>
      </c>
      <c r="H108" s="118" t="s">
        <v>269</v>
      </c>
      <c r="I108" s="118" t="s">
        <v>256</v>
      </c>
      <c r="J108" s="118" t="s">
        <v>279</v>
      </c>
      <c r="K108" s="118" t="s">
        <v>324</v>
      </c>
      <c r="L108" s="118" t="s">
        <v>294</v>
      </c>
      <c r="M108" s="118" t="s">
        <v>432</v>
      </c>
      <c r="N108" s="118" t="s">
        <v>314</v>
      </c>
      <c r="O108" s="163" t="s">
        <v>315</v>
      </c>
      <c r="P108" s="251"/>
      <c r="Q108" s="162" t="str">
        <f t="shared" si="1"/>
        <v> 3.5X500</v>
      </c>
      <c r="R108" s="118">
        <v>0.1</v>
      </c>
      <c r="S108" s="118">
        <v>0.07</v>
      </c>
      <c r="T108" s="118">
        <v>0.0602</v>
      </c>
      <c r="U108" s="118">
        <v>0.07</v>
      </c>
      <c r="V108" s="118" t="s">
        <v>437</v>
      </c>
      <c r="W108" s="118" t="s">
        <v>417</v>
      </c>
      <c r="X108" s="118" t="s">
        <v>438</v>
      </c>
      <c r="Y108" s="118" t="s">
        <v>439</v>
      </c>
      <c r="Z108" s="118" t="s">
        <v>308</v>
      </c>
      <c r="AA108" s="118" t="s">
        <v>440</v>
      </c>
      <c r="AB108" s="118" t="s">
        <v>321</v>
      </c>
      <c r="AC108" s="163" t="s">
        <v>322</v>
      </c>
      <c r="AD108" s="252"/>
      <c r="AE108" s="251"/>
      <c r="AF108" s="251"/>
      <c r="AG108" s="251"/>
      <c r="AH108" s="251"/>
    </row>
    <row r="109" spans="1:34" ht="12.75">
      <c r="A109" s="251"/>
      <c r="B109" s="258"/>
      <c r="C109" s="164" t="s">
        <v>496</v>
      </c>
      <c r="D109" s="118">
        <v>0.08</v>
      </c>
      <c r="E109" s="118">
        <v>0.084</v>
      </c>
      <c r="F109" s="118">
        <v>0.045</v>
      </c>
      <c r="G109" s="118">
        <v>0.084</v>
      </c>
      <c r="H109" s="118" t="s">
        <v>417</v>
      </c>
      <c r="I109" s="118" t="s">
        <v>413</v>
      </c>
      <c r="J109" s="118" t="s">
        <v>308</v>
      </c>
      <c r="K109" s="118" t="s">
        <v>328</v>
      </c>
      <c r="L109" s="118" t="s">
        <v>324</v>
      </c>
      <c r="M109" s="118" t="s">
        <v>474</v>
      </c>
      <c r="N109" s="118" t="s">
        <v>326</v>
      </c>
      <c r="O109" s="163" t="s">
        <v>327</v>
      </c>
      <c r="P109" s="251"/>
      <c r="Q109" s="162" t="str">
        <f t="shared" si="1"/>
        <v> 3.5X630</v>
      </c>
      <c r="R109" s="118">
        <v>0.1</v>
      </c>
      <c r="S109" s="118">
        <v>0.07</v>
      </c>
      <c r="T109" s="118">
        <v>0.0602</v>
      </c>
      <c r="U109" s="118">
        <v>0.07</v>
      </c>
      <c r="V109" s="118" t="s">
        <v>445</v>
      </c>
      <c r="W109" s="118" t="s">
        <v>324</v>
      </c>
      <c r="X109" s="118" t="s">
        <v>446</v>
      </c>
      <c r="Y109" s="118" t="s">
        <v>331</v>
      </c>
      <c r="Z109" s="118" t="s">
        <v>447</v>
      </c>
      <c r="AA109" s="118" t="s">
        <v>448</v>
      </c>
      <c r="AB109" s="118" t="s">
        <v>333</v>
      </c>
      <c r="AC109" s="163" t="s">
        <v>334</v>
      </c>
      <c r="AD109" s="252"/>
      <c r="AE109" s="251"/>
      <c r="AF109" s="251"/>
      <c r="AG109" s="251"/>
      <c r="AH109" s="251"/>
    </row>
    <row r="110" spans="1:34" ht="12.75">
      <c r="A110" s="251"/>
      <c r="B110" s="258"/>
      <c r="C110" s="164" t="s">
        <v>497</v>
      </c>
      <c r="D110" s="118">
        <v>21.72</v>
      </c>
      <c r="E110" s="118">
        <v>0.126</v>
      </c>
      <c r="F110" s="118">
        <v>14.5</v>
      </c>
      <c r="G110" s="118">
        <v>0.126</v>
      </c>
      <c r="H110" s="118">
        <v>16</v>
      </c>
      <c r="I110" s="118">
        <v>14</v>
      </c>
      <c r="J110" s="118">
        <v>13</v>
      </c>
      <c r="K110" s="118">
        <v>21</v>
      </c>
      <c r="L110" s="118">
        <v>17</v>
      </c>
      <c r="M110" s="118">
        <v>17</v>
      </c>
      <c r="N110" s="119">
        <v>0.3</v>
      </c>
      <c r="O110" s="171">
        <v>0.4</v>
      </c>
      <c r="P110" s="251"/>
      <c r="Q110" s="162" t="str">
        <f t="shared" si="1"/>
        <v>4cX 1.5</v>
      </c>
      <c r="R110" s="118" t="s">
        <v>143</v>
      </c>
      <c r="S110" s="118" t="s">
        <v>143</v>
      </c>
      <c r="T110" s="118" t="s">
        <v>143</v>
      </c>
      <c r="U110" s="118" t="s">
        <v>143</v>
      </c>
      <c r="V110" s="118" t="s">
        <v>143</v>
      </c>
      <c r="W110" s="118" t="s">
        <v>143</v>
      </c>
      <c r="X110" s="118" t="s">
        <v>143</v>
      </c>
      <c r="Y110" s="118" t="s">
        <v>143</v>
      </c>
      <c r="Z110" s="118" t="s">
        <v>143</v>
      </c>
      <c r="AA110" s="118" t="s">
        <v>143</v>
      </c>
      <c r="AB110" s="118" t="s">
        <v>143</v>
      </c>
      <c r="AC110" s="163" t="s">
        <v>143</v>
      </c>
      <c r="AD110" s="252"/>
      <c r="AE110" s="251"/>
      <c r="AF110" s="251"/>
      <c r="AG110" s="251"/>
      <c r="AH110" s="251"/>
    </row>
    <row r="111" spans="1:34" ht="12.75">
      <c r="A111" s="251"/>
      <c r="B111" s="258"/>
      <c r="C111" s="164" t="s">
        <v>498</v>
      </c>
      <c r="D111" s="118">
        <v>14.52</v>
      </c>
      <c r="E111" s="118">
        <v>0.119</v>
      </c>
      <c r="F111" s="118">
        <v>8.87</v>
      </c>
      <c r="G111" s="118">
        <v>0.119</v>
      </c>
      <c r="H111" s="118">
        <v>21</v>
      </c>
      <c r="I111" s="118">
        <v>18</v>
      </c>
      <c r="J111" s="118">
        <v>18</v>
      </c>
      <c r="K111" s="118">
        <v>27</v>
      </c>
      <c r="L111" s="118">
        <v>24</v>
      </c>
      <c r="M111" s="118">
        <v>24</v>
      </c>
      <c r="N111" s="119">
        <v>0.3</v>
      </c>
      <c r="O111" s="171">
        <v>0.4</v>
      </c>
      <c r="P111" s="251"/>
      <c r="Q111" s="162" t="str">
        <f t="shared" si="1"/>
        <v>4cX 2.5</v>
      </c>
      <c r="R111" s="118" t="s">
        <v>143</v>
      </c>
      <c r="S111" s="118" t="s">
        <v>143</v>
      </c>
      <c r="T111" s="118" t="s">
        <v>143</v>
      </c>
      <c r="U111" s="118" t="s">
        <v>143</v>
      </c>
      <c r="V111" s="118" t="s">
        <v>143</v>
      </c>
      <c r="W111" s="118" t="s">
        <v>143</v>
      </c>
      <c r="X111" s="118" t="s">
        <v>143</v>
      </c>
      <c r="Y111" s="118" t="s">
        <v>143</v>
      </c>
      <c r="Z111" s="118" t="s">
        <v>143</v>
      </c>
      <c r="AA111" s="118" t="s">
        <v>143</v>
      </c>
      <c r="AB111" s="118" t="s">
        <v>143</v>
      </c>
      <c r="AC111" s="163" t="s">
        <v>143</v>
      </c>
      <c r="AD111" s="252"/>
      <c r="AE111" s="251"/>
      <c r="AF111" s="251"/>
      <c r="AG111" s="251"/>
      <c r="AH111" s="251"/>
    </row>
    <row r="112" spans="1:34" ht="12.75">
      <c r="A112" s="251"/>
      <c r="B112" s="258"/>
      <c r="C112" s="164" t="s">
        <v>499</v>
      </c>
      <c r="D112" s="118">
        <v>8.89</v>
      </c>
      <c r="E112" s="118">
        <v>0.116</v>
      </c>
      <c r="F112" s="118">
        <v>5.52</v>
      </c>
      <c r="G112" s="118">
        <v>0.116</v>
      </c>
      <c r="H112" s="118" t="s">
        <v>361</v>
      </c>
      <c r="I112" s="118" t="s">
        <v>449</v>
      </c>
      <c r="J112" s="118" t="s">
        <v>449</v>
      </c>
      <c r="K112" s="118" t="s">
        <v>450</v>
      </c>
      <c r="L112" s="118" t="s">
        <v>362</v>
      </c>
      <c r="M112" s="118" t="s">
        <v>362</v>
      </c>
      <c r="N112" s="118" t="s">
        <v>147</v>
      </c>
      <c r="O112" s="163" t="s">
        <v>148</v>
      </c>
      <c r="P112" s="251"/>
      <c r="Q112" s="162" t="str">
        <f t="shared" si="1"/>
        <v>4cX4  </v>
      </c>
      <c r="R112" s="118">
        <v>5.53</v>
      </c>
      <c r="S112" s="118">
        <v>0.11</v>
      </c>
      <c r="T112" s="118">
        <v>3.69</v>
      </c>
      <c r="U112" s="118">
        <v>0.11</v>
      </c>
      <c r="V112" s="118" t="s">
        <v>360</v>
      </c>
      <c r="W112" s="118" t="s">
        <v>361</v>
      </c>
      <c r="X112" s="118" t="s">
        <v>362</v>
      </c>
      <c r="Y112" s="118" t="s">
        <v>156</v>
      </c>
      <c r="Z112" s="118" t="s">
        <v>154</v>
      </c>
      <c r="AA112" s="118" t="s">
        <v>144</v>
      </c>
      <c r="AB112" s="118" t="s">
        <v>152</v>
      </c>
      <c r="AC112" s="163" t="s">
        <v>153</v>
      </c>
      <c r="AD112" s="252"/>
      <c r="AE112" s="251"/>
      <c r="AF112" s="251"/>
      <c r="AG112" s="251"/>
      <c r="AH112" s="251"/>
    </row>
    <row r="113" spans="1:34" ht="12.75">
      <c r="A113" s="251"/>
      <c r="B113" s="258"/>
      <c r="C113" s="164" t="s">
        <v>500</v>
      </c>
      <c r="D113" s="118">
        <v>5.53</v>
      </c>
      <c r="E113" s="118">
        <v>0.11</v>
      </c>
      <c r="F113" s="118">
        <v>3.69</v>
      </c>
      <c r="G113" s="118">
        <v>0.11</v>
      </c>
      <c r="H113" s="118" t="s">
        <v>146</v>
      </c>
      <c r="I113" s="118" t="s">
        <v>362</v>
      </c>
      <c r="J113" s="118" t="s">
        <v>362</v>
      </c>
      <c r="K113" s="118" t="s">
        <v>151</v>
      </c>
      <c r="L113" s="118" t="s">
        <v>145</v>
      </c>
      <c r="M113" s="118" t="s">
        <v>144</v>
      </c>
      <c r="N113" s="118" t="s">
        <v>157</v>
      </c>
      <c r="O113" s="163" t="s">
        <v>158</v>
      </c>
      <c r="P113" s="251"/>
      <c r="Q113" s="162" t="str">
        <f t="shared" si="1"/>
        <v>4cX 6  </v>
      </c>
      <c r="R113" s="118">
        <v>3.7</v>
      </c>
      <c r="S113" s="118">
        <v>0.1</v>
      </c>
      <c r="T113" s="118">
        <v>2.19</v>
      </c>
      <c r="U113" s="118">
        <v>0.1</v>
      </c>
      <c r="V113" s="118" t="s">
        <v>366</v>
      </c>
      <c r="W113" s="118" t="s">
        <v>154</v>
      </c>
      <c r="X113" s="118" t="s">
        <v>364</v>
      </c>
      <c r="Y113" s="118" t="s">
        <v>367</v>
      </c>
      <c r="Z113" s="118" t="s">
        <v>150</v>
      </c>
      <c r="AA113" s="118" t="s">
        <v>365</v>
      </c>
      <c r="AB113" s="118" t="s">
        <v>162</v>
      </c>
      <c r="AC113" s="163" t="s">
        <v>163</v>
      </c>
      <c r="AD113" s="252"/>
      <c r="AE113" s="251"/>
      <c r="AF113" s="251"/>
      <c r="AG113" s="251"/>
      <c r="AH113" s="251"/>
    </row>
    <row r="114" spans="1:34" ht="12.75">
      <c r="A114" s="251"/>
      <c r="B114" s="258"/>
      <c r="C114" s="164" t="s">
        <v>501</v>
      </c>
      <c r="D114" s="118">
        <v>3.7</v>
      </c>
      <c r="E114" s="118">
        <v>0.1</v>
      </c>
      <c r="F114" s="118">
        <v>2.19</v>
      </c>
      <c r="G114" s="118">
        <v>0.1</v>
      </c>
      <c r="H114" s="118" t="s">
        <v>453</v>
      </c>
      <c r="I114" s="118" t="s">
        <v>144</v>
      </c>
      <c r="J114" s="118" t="s">
        <v>364</v>
      </c>
      <c r="K114" s="118" t="s">
        <v>159</v>
      </c>
      <c r="L114" s="118" t="s">
        <v>365</v>
      </c>
      <c r="M114" s="118" t="s">
        <v>454</v>
      </c>
      <c r="N114" s="118" t="s">
        <v>167</v>
      </c>
      <c r="O114" s="163" t="s">
        <v>168</v>
      </c>
      <c r="P114" s="251"/>
      <c r="Q114" s="162" t="str">
        <f t="shared" si="1"/>
        <v>4cX 10  </v>
      </c>
      <c r="R114" s="118">
        <v>2.29</v>
      </c>
      <c r="S114" s="118">
        <v>0.097</v>
      </c>
      <c r="T114" s="118">
        <v>1.38</v>
      </c>
      <c r="U114" s="118">
        <v>0.097</v>
      </c>
      <c r="V114" s="118" t="s">
        <v>161</v>
      </c>
      <c r="W114" s="118" t="s">
        <v>149</v>
      </c>
      <c r="X114" s="118" t="s">
        <v>371</v>
      </c>
      <c r="Y114" s="118" t="s">
        <v>372</v>
      </c>
      <c r="Z114" s="118" t="s">
        <v>170</v>
      </c>
      <c r="AA114" s="118" t="s">
        <v>373</v>
      </c>
      <c r="AB114" s="118" t="s">
        <v>174</v>
      </c>
      <c r="AC114" s="163" t="s">
        <v>175</v>
      </c>
      <c r="AD114" s="252"/>
      <c r="AE114" s="251"/>
      <c r="AF114" s="251"/>
      <c r="AG114" s="251"/>
      <c r="AH114" s="251"/>
    </row>
    <row r="115" spans="1:34" ht="12.75">
      <c r="A115" s="251"/>
      <c r="B115" s="258"/>
      <c r="C115" s="164" t="s">
        <v>502</v>
      </c>
      <c r="D115" s="118">
        <v>2.29</v>
      </c>
      <c r="E115" s="118">
        <v>0.097</v>
      </c>
      <c r="F115" s="118">
        <v>1.38</v>
      </c>
      <c r="G115" s="118">
        <v>0.097</v>
      </c>
      <c r="H115" s="118" t="s">
        <v>159</v>
      </c>
      <c r="I115" s="118" t="s">
        <v>365</v>
      </c>
      <c r="J115" s="118" t="s">
        <v>164</v>
      </c>
      <c r="K115" s="118" t="s">
        <v>173</v>
      </c>
      <c r="L115" s="118" t="s">
        <v>166</v>
      </c>
      <c r="M115" s="118" t="s">
        <v>176</v>
      </c>
      <c r="N115" s="118" t="s">
        <v>180</v>
      </c>
      <c r="O115" s="163" t="s">
        <v>376</v>
      </c>
      <c r="P115" s="251"/>
      <c r="Q115" s="162" t="str">
        <f t="shared" si="1"/>
        <v>4cX16  </v>
      </c>
      <c r="R115" s="118">
        <v>2.45</v>
      </c>
      <c r="S115" s="118">
        <v>0.08</v>
      </c>
      <c r="T115" s="118">
        <v>1.47</v>
      </c>
      <c r="U115" s="118">
        <v>0.08</v>
      </c>
      <c r="V115" s="118" t="s">
        <v>172</v>
      </c>
      <c r="W115" s="118" t="s">
        <v>170</v>
      </c>
      <c r="X115" s="118" t="s">
        <v>369</v>
      </c>
      <c r="Y115" s="118" t="s">
        <v>377</v>
      </c>
      <c r="Z115" s="118" t="s">
        <v>172</v>
      </c>
      <c r="AA115" s="118" t="s">
        <v>177</v>
      </c>
      <c r="AB115" s="118" t="s">
        <v>378</v>
      </c>
      <c r="AC115" s="163" t="s">
        <v>379</v>
      </c>
      <c r="AD115" s="252"/>
      <c r="AE115" s="251"/>
      <c r="AF115" s="251"/>
      <c r="AG115" s="251"/>
      <c r="AH115" s="251"/>
    </row>
    <row r="116" spans="1:34" ht="12.75">
      <c r="A116" s="251"/>
      <c r="B116" s="258"/>
      <c r="C116" s="164" t="s">
        <v>503</v>
      </c>
      <c r="D116" s="118">
        <v>1.44</v>
      </c>
      <c r="E116" s="118">
        <v>0.097</v>
      </c>
      <c r="F116" s="118">
        <v>0.87</v>
      </c>
      <c r="G116" s="118">
        <v>0.097</v>
      </c>
      <c r="H116" s="118" t="s">
        <v>381</v>
      </c>
      <c r="I116" s="118" t="s">
        <v>457</v>
      </c>
      <c r="J116" s="118" t="s">
        <v>369</v>
      </c>
      <c r="K116" s="118" t="s">
        <v>193</v>
      </c>
      <c r="L116" s="118" t="s">
        <v>182</v>
      </c>
      <c r="M116" s="118" t="s">
        <v>194</v>
      </c>
      <c r="N116" s="118" t="s">
        <v>191</v>
      </c>
      <c r="O116" s="163" t="s">
        <v>383</v>
      </c>
      <c r="P116" s="251"/>
      <c r="Q116" s="162" t="str">
        <f t="shared" si="1"/>
        <v>4cX 25  </v>
      </c>
      <c r="R116" s="118">
        <v>1.54</v>
      </c>
      <c r="S116" s="118">
        <v>0.08</v>
      </c>
      <c r="T116" s="118">
        <v>0.93</v>
      </c>
      <c r="U116" s="118">
        <v>0.08</v>
      </c>
      <c r="V116" s="118" t="s">
        <v>384</v>
      </c>
      <c r="W116" s="118" t="s">
        <v>171</v>
      </c>
      <c r="X116" s="118" t="s">
        <v>193</v>
      </c>
      <c r="Y116" s="118" t="s">
        <v>212</v>
      </c>
      <c r="Z116" s="118" t="s">
        <v>200</v>
      </c>
      <c r="AA116" s="118" t="s">
        <v>202</v>
      </c>
      <c r="AB116" s="118" t="s">
        <v>385</v>
      </c>
      <c r="AC116" s="163" t="s">
        <v>386</v>
      </c>
      <c r="AD116" s="252"/>
      <c r="AE116" s="251"/>
      <c r="AF116" s="251"/>
      <c r="AG116" s="251"/>
      <c r="AH116" s="251"/>
    </row>
    <row r="117" spans="1:34" ht="12.75">
      <c r="A117" s="251"/>
      <c r="B117" s="258"/>
      <c r="C117" s="164" t="s">
        <v>504</v>
      </c>
      <c r="D117" s="118">
        <v>1.04</v>
      </c>
      <c r="E117" s="118">
        <v>0.097</v>
      </c>
      <c r="F117" s="118">
        <v>0.62</v>
      </c>
      <c r="G117" s="118">
        <v>0.097</v>
      </c>
      <c r="H117" s="118" t="s">
        <v>388</v>
      </c>
      <c r="I117" s="118" t="s">
        <v>173</v>
      </c>
      <c r="J117" s="118" t="s">
        <v>188</v>
      </c>
      <c r="K117" s="118" t="s">
        <v>212</v>
      </c>
      <c r="L117" s="118" t="s">
        <v>193</v>
      </c>
      <c r="M117" s="118" t="s">
        <v>190</v>
      </c>
      <c r="N117" s="118" t="s">
        <v>203</v>
      </c>
      <c r="O117" s="163" t="s">
        <v>389</v>
      </c>
      <c r="P117" s="251"/>
      <c r="Q117" s="162" t="str">
        <f t="shared" si="1"/>
        <v>4cX35  </v>
      </c>
      <c r="R117" s="118">
        <v>1.11</v>
      </c>
      <c r="S117" s="118">
        <v>0.08</v>
      </c>
      <c r="T117" s="118">
        <v>0.671</v>
      </c>
      <c r="U117" s="118">
        <v>0.08</v>
      </c>
      <c r="V117" s="118" t="s">
        <v>390</v>
      </c>
      <c r="W117" s="118" t="s">
        <v>377</v>
      </c>
      <c r="X117" s="118" t="s">
        <v>205</v>
      </c>
      <c r="Y117" s="118" t="s">
        <v>197</v>
      </c>
      <c r="Z117" s="118" t="s">
        <v>212</v>
      </c>
      <c r="AA117" s="118" t="s">
        <v>207</v>
      </c>
      <c r="AB117" s="118" t="s">
        <v>391</v>
      </c>
      <c r="AC117" s="163" t="s">
        <v>392</v>
      </c>
      <c r="AD117" s="252"/>
      <c r="AE117" s="251"/>
      <c r="AF117" s="251"/>
      <c r="AG117" s="251"/>
      <c r="AH117" s="251"/>
    </row>
    <row r="118" spans="1:34" ht="12.75">
      <c r="A118" s="251"/>
      <c r="B118" s="258"/>
      <c r="C118" s="164" t="s">
        <v>505</v>
      </c>
      <c r="D118" s="118">
        <v>0.77</v>
      </c>
      <c r="E118" s="118">
        <v>0.094</v>
      </c>
      <c r="F118" s="118">
        <v>0.46</v>
      </c>
      <c r="G118" s="118">
        <v>0.094</v>
      </c>
      <c r="H118" s="118" t="s">
        <v>190</v>
      </c>
      <c r="I118" s="118" t="s">
        <v>384</v>
      </c>
      <c r="J118" s="118" t="s">
        <v>201</v>
      </c>
      <c r="K118" s="118" t="s">
        <v>197</v>
      </c>
      <c r="L118" s="118" t="s">
        <v>202</v>
      </c>
      <c r="M118" s="118" t="s">
        <v>206</v>
      </c>
      <c r="N118" s="118" t="s">
        <v>215</v>
      </c>
      <c r="O118" s="163" t="s">
        <v>394</v>
      </c>
      <c r="P118" s="251"/>
      <c r="Q118" s="162" t="str">
        <f t="shared" si="1"/>
        <v>4cX 50  </v>
      </c>
      <c r="R118" s="118">
        <v>0.082</v>
      </c>
      <c r="S118" s="118">
        <v>0.078</v>
      </c>
      <c r="T118" s="118">
        <v>0.495</v>
      </c>
      <c r="U118" s="118">
        <v>0.078</v>
      </c>
      <c r="V118" s="118" t="s">
        <v>208</v>
      </c>
      <c r="W118" s="118" t="s">
        <v>190</v>
      </c>
      <c r="X118" s="118" t="s">
        <v>208</v>
      </c>
      <c r="Y118" s="118" t="s">
        <v>218</v>
      </c>
      <c r="Z118" s="118" t="s">
        <v>197</v>
      </c>
      <c r="AA118" s="118" t="s">
        <v>223</v>
      </c>
      <c r="AB118" s="118" t="s">
        <v>395</v>
      </c>
      <c r="AC118" s="163" t="s">
        <v>396</v>
      </c>
      <c r="AD118" s="252"/>
      <c r="AE118" s="251"/>
      <c r="AF118" s="251"/>
      <c r="AG118" s="251"/>
      <c r="AH118" s="251"/>
    </row>
    <row r="119" spans="1:34" ht="12.75">
      <c r="A119" s="251"/>
      <c r="B119" s="258"/>
      <c r="C119" s="164" t="s">
        <v>506</v>
      </c>
      <c r="D119" s="118">
        <v>0.53</v>
      </c>
      <c r="E119" s="118">
        <v>0.09</v>
      </c>
      <c r="F119" s="118">
        <v>0.32</v>
      </c>
      <c r="G119" s="118">
        <v>0.09</v>
      </c>
      <c r="H119" s="118" t="s">
        <v>206</v>
      </c>
      <c r="I119" s="118" t="s">
        <v>195</v>
      </c>
      <c r="J119" s="118" t="s">
        <v>196</v>
      </c>
      <c r="K119" s="118" t="s">
        <v>209</v>
      </c>
      <c r="L119" s="118" t="s">
        <v>213</v>
      </c>
      <c r="M119" s="118" t="s">
        <v>214</v>
      </c>
      <c r="N119" s="118" t="s">
        <v>225</v>
      </c>
      <c r="O119" s="163" t="s">
        <v>400</v>
      </c>
      <c r="P119" s="251"/>
      <c r="Q119" s="162" t="str">
        <f t="shared" si="1"/>
        <v>4cX70  </v>
      </c>
      <c r="R119" s="118">
        <v>0.57</v>
      </c>
      <c r="S119" s="118">
        <v>0.077</v>
      </c>
      <c r="T119" s="118">
        <v>0.343</v>
      </c>
      <c r="U119" s="118">
        <v>0.077</v>
      </c>
      <c r="V119" s="118" t="s">
        <v>218</v>
      </c>
      <c r="W119" s="118" t="s">
        <v>208</v>
      </c>
      <c r="X119" s="118" t="s">
        <v>401</v>
      </c>
      <c r="Y119" s="118" t="s">
        <v>228</v>
      </c>
      <c r="Z119" s="118" t="s">
        <v>209</v>
      </c>
      <c r="AA119" s="118" t="s">
        <v>241</v>
      </c>
      <c r="AB119" s="118" t="s">
        <v>402</v>
      </c>
      <c r="AC119" s="163" t="s">
        <v>233</v>
      </c>
      <c r="AD119" s="252"/>
      <c r="AE119" s="251"/>
      <c r="AF119" s="251"/>
      <c r="AG119" s="251"/>
      <c r="AH119" s="251"/>
    </row>
    <row r="120" spans="1:34" ht="12.75">
      <c r="A120" s="251"/>
      <c r="B120" s="258"/>
      <c r="C120" s="164" t="s">
        <v>507</v>
      </c>
      <c r="D120" s="118">
        <v>0.38</v>
      </c>
      <c r="E120" s="118">
        <v>0.9</v>
      </c>
      <c r="F120" s="118">
        <v>0.23</v>
      </c>
      <c r="G120" s="118">
        <v>0.09</v>
      </c>
      <c r="H120" s="118" t="s">
        <v>214</v>
      </c>
      <c r="I120" s="118" t="s">
        <v>208</v>
      </c>
      <c r="J120" s="118" t="s">
        <v>207</v>
      </c>
      <c r="K120" s="118" t="s">
        <v>228</v>
      </c>
      <c r="L120" s="118" t="s">
        <v>209</v>
      </c>
      <c r="M120" s="118" t="s">
        <v>230</v>
      </c>
      <c r="N120" s="118" t="s">
        <v>236</v>
      </c>
      <c r="O120" s="163" t="s">
        <v>462</v>
      </c>
      <c r="P120" s="251"/>
      <c r="Q120" s="162" t="str">
        <f t="shared" si="1"/>
        <v>4cX 95  </v>
      </c>
      <c r="R120" s="118">
        <v>0.41</v>
      </c>
      <c r="S120" s="118">
        <v>0.074</v>
      </c>
      <c r="T120" s="118">
        <v>0.247</v>
      </c>
      <c r="U120" s="118">
        <v>0.074</v>
      </c>
      <c r="V120" s="118" t="s">
        <v>230</v>
      </c>
      <c r="W120" s="118" t="s">
        <v>214</v>
      </c>
      <c r="X120" s="118" t="s">
        <v>404</v>
      </c>
      <c r="Y120" s="118" t="s">
        <v>246</v>
      </c>
      <c r="Z120" s="118" t="s">
        <v>228</v>
      </c>
      <c r="AA120" s="118" t="s">
        <v>266</v>
      </c>
      <c r="AB120" s="118" t="s">
        <v>405</v>
      </c>
      <c r="AC120" s="163" t="s">
        <v>244</v>
      </c>
      <c r="AD120" s="252"/>
      <c r="AE120" s="251"/>
      <c r="AF120" s="251"/>
      <c r="AG120" s="251"/>
      <c r="AH120" s="251"/>
    </row>
    <row r="121" spans="1:34" ht="12.75">
      <c r="A121" s="251"/>
      <c r="B121" s="258"/>
      <c r="C121" s="164" t="s">
        <v>508</v>
      </c>
      <c r="D121" s="118">
        <v>0.3</v>
      </c>
      <c r="E121" s="118">
        <v>0.087</v>
      </c>
      <c r="F121" s="118">
        <v>0.18</v>
      </c>
      <c r="G121" s="118">
        <v>0.087</v>
      </c>
      <c r="H121" s="118" t="s">
        <v>219</v>
      </c>
      <c r="I121" s="118" t="s">
        <v>207</v>
      </c>
      <c r="J121" s="118" t="s">
        <v>399</v>
      </c>
      <c r="K121" s="118" t="s">
        <v>265</v>
      </c>
      <c r="L121" s="118" t="s">
        <v>245</v>
      </c>
      <c r="M121" s="118" t="s">
        <v>250</v>
      </c>
      <c r="N121" s="118" t="s">
        <v>248</v>
      </c>
      <c r="O121" s="163" t="s">
        <v>464</v>
      </c>
      <c r="P121" s="251"/>
      <c r="Q121" s="162" t="str">
        <f t="shared" si="1"/>
        <v>4cX 120  </v>
      </c>
      <c r="R121" s="118">
        <v>0.33</v>
      </c>
      <c r="S121" s="118">
        <v>0.072</v>
      </c>
      <c r="T121" s="118">
        <v>0.196</v>
      </c>
      <c r="U121" s="118">
        <v>0.072</v>
      </c>
      <c r="V121" s="118" t="s">
        <v>229</v>
      </c>
      <c r="W121" s="118" t="s">
        <v>219</v>
      </c>
      <c r="X121" s="118" t="s">
        <v>407</v>
      </c>
      <c r="Y121" s="118" t="s">
        <v>278</v>
      </c>
      <c r="Z121" s="118" t="s">
        <v>265</v>
      </c>
      <c r="AA121" s="118" t="s">
        <v>242</v>
      </c>
      <c r="AB121" s="118" t="s">
        <v>253</v>
      </c>
      <c r="AC121" s="163" t="s">
        <v>254</v>
      </c>
      <c r="AD121" s="252"/>
      <c r="AE121" s="251"/>
      <c r="AF121" s="251"/>
      <c r="AG121" s="251"/>
      <c r="AH121" s="251"/>
    </row>
    <row r="122" spans="1:34" ht="12.75">
      <c r="A122" s="251"/>
      <c r="B122" s="258"/>
      <c r="C122" s="164" t="s">
        <v>509</v>
      </c>
      <c r="D122" s="118">
        <v>0.25</v>
      </c>
      <c r="E122" s="118">
        <v>0.087</v>
      </c>
      <c r="F122" s="118">
        <v>0.14</v>
      </c>
      <c r="G122" s="118">
        <v>0.087</v>
      </c>
      <c r="H122" s="118" t="s">
        <v>228</v>
      </c>
      <c r="I122" s="118" t="s">
        <v>209</v>
      </c>
      <c r="J122" s="118" t="s">
        <v>224</v>
      </c>
      <c r="K122" s="118" t="s">
        <v>231</v>
      </c>
      <c r="L122" s="118" t="s">
        <v>229</v>
      </c>
      <c r="M122" s="118" t="s">
        <v>240</v>
      </c>
      <c r="N122" s="118" t="s">
        <v>510</v>
      </c>
      <c r="O122" s="163" t="s">
        <v>409</v>
      </c>
      <c r="P122" s="251"/>
      <c r="Q122" s="162" t="str">
        <f t="shared" si="1"/>
        <v>4cX 150  </v>
      </c>
      <c r="R122" s="118">
        <v>0.27</v>
      </c>
      <c r="S122" s="118">
        <v>0.072</v>
      </c>
      <c r="T122" s="118">
        <v>0.159</v>
      </c>
      <c r="U122" s="118">
        <v>0.072</v>
      </c>
      <c r="V122" s="118" t="s">
        <v>239</v>
      </c>
      <c r="W122" s="118" t="s">
        <v>228</v>
      </c>
      <c r="X122" s="118" t="s">
        <v>410</v>
      </c>
      <c r="Y122" s="118" t="s">
        <v>411</v>
      </c>
      <c r="Z122" s="118" t="s">
        <v>231</v>
      </c>
      <c r="AA122" s="118" t="s">
        <v>289</v>
      </c>
      <c r="AB122" s="118" t="s">
        <v>262</v>
      </c>
      <c r="AC122" s="163" t="s">
        <v>263</v>
      </c>
      <c r="AD122" s="252"/>
      <c r="AE122" s="251"/>
      <c r="AF122" s="251"/>
      <c r="AG122" s="251"/>
      <c r="AH122" s="251"/>
    </row>
    <row r="123" spans="1:34" ht="12.75">
      <c r="A123" s="251"/>
      <c r="B123" s="258"/>
      <c r="C123" s="164" t="s">
        <v>511</v>
      </c>
      <c r="D123" s="118">
        <v>0.2</v>
      </c>
      <c r="E123" s="118">
        <v>0.087</v>
      </c>
      <c r="F123" s="118">
        <v>0.12</v>
      </c>
      <c r="G123" s="118">
        <v>0.087</v>
      </c>
      <c r="H123" s="118" t="s">
        <v>241</v>
      </c>
      <c r="I123" s="118" t="s">
        <v>230</v>
      </c>
      <c r="J123" s="118" t="s">
        <v>265</v>
      </c>
      <c r="K123" s="118" t="s">
        <v>251</v>
      </c>
      <c r="L123" s="118" t="s">
        <v>239</v>
      </c>
      <c r="M123" s="118" t="s">
        <v>267</v>
      </c>
      <c r="N123" s="118" t="s">
        <v>512</v>
      </c>
      <c r="O123" s="163" t="s">
        <v>467</v>
      </c>
      <c r="P123" s="251"/>
      <c r="Q123" s="162" t="str">
        <f t="shared" si="1"/>
        <v>4cX 185  </v>
      </c>
      <c r="R123" s="118">
        <v>0.21</v>
      </c>
      <c r="S123" s="118">
        <v>0.072</v>
      </c>
      <c r="T123" s="118">
        <v>0.127</v>
      </c>
      <c r="U123" s="118">
        <v>0.072</v>
      </c>
      <c r="V123" s="118" t="s">
        <v>278</v>
      </c>
      <c r="W123" s="118" t="s">
        <v>241</v>
      </c>
      <c r="X123" s="118" t="s">
        <v>415</v>
      </c>
      <c r="Y123" s="118" t="s">
        <v>313</v>
      </c>
      <c r="Z123" s="118" t="s">
        <v>251</v>
      </c>
      <c r="AA123" s="118" t="s">
        <v>284</v>
      </c>
      <c r="AB123" s="118" t="s">
        <v>274</v>
      </c>
      <c r="AC123" s="163" t="s">
        <v>275</v>
      </c>
      <c r="AD123" s="252"/>
      <c r="AE123" s="251"/>
      <c r="AF123" s="251"/>
      <c r="AG123" s="251"/>
      <c r="AH123" s="251"/>
    </row>
    <row r="124" spans="1:34" ht="12.75">
      <c r="A124" s="251"/>
      <c r="B124" s="258"/>
      <c r="C124" s="164" t="s">
        <v>513</v>
      </c>
      <c r="D124" s="118">
        <v>0.15</v>
      </c>
      <c r="E124" s="118">
        <v>0.087</v>
      </c>
      <c r="F124" s="118">
        <v>0.091</v>
      </c>
      <c r="G124" s="118">
        <v>0.087</v>
      </c>
      <c r="H124" s="118" t="s">
        <v>302</v>
      </c>
      <c r="I124" s="118" t="s">
        <v>241</v>
      </c>
      <c r="J124" s="118" t="s">
        <v>247</v>
      </c>
      <c r="K124" s="118" t="s">
        <v>277</v>
      </c>
      <c r="L124" s="118" t="s">
        <v>271</v>
      </c>
      <c r="M124" s="118" t="s">
        <v>313</v>
      </c>
      <c r="N124" s="118" t="s">
        <v>514</v>
      </c>
      <c r="O124" s="163" t="s">
        <v>419</v>
      </c>
      <c r="P124" s="251"/>
      <c r="Q124" s="162" t="str">
        <f t="shared" si="1"/>
        <v>4cX 240  </v>
      </c>
      <c r="R124" s="118">
        <v>0.16</v>
      </c>
      <c r="S124" s="118">
        <v>0.072</v>
      </c>
      <c r="T124" s="118">
        <v>0.0965</v>
      </c>
      <c r="U124" s="118">
        <v>0.072</v>
      </c>
      <c r="V124" s="118" t="s">
        <v>301</v>
      </c>
      <c r="W124" s="118" t="s">
        <v>231</v>
      </c>
      <c r="X124" s="118" t="s">
        <v>420</v>
      </c>
      <c r="Y124" s="118" t="s">
        <v>418</v>
      </c>
      <c r="Z124" s="118" t="s">
        <v>413</v>
      </c>
      <c r="AA124" s="118" t="s">
        <v>421</v>
      </c>
      <c r="AB124" s="118" t="s">
        <v>286</v>
      </c>
      <c r="AC124" s="163" t="s">
        <v>287</v>
      </c>
      <c r="AD124" s="252"/>
      <c r="AE124" s="251"/>
      <c r="AF124" s="251"/>
      <c r="AG124" s="251"/>
      <c r="AH124" s="251"/>
    </row>
    <row r="125" spans="1:34" ht="12.75">
      <c r="A125" s="251"/>
      <c r="B125" s="258"/>
      <c r="C125" s="164" t="s">
        <v>515</v>
      </c>
      <c r="D125" s="118">
        <v>0.12</v>
      </c>
      <c r="E125" s="118">
        <v>0.086</v>
      </c>
      <c r="F125" s="118">
        <v>0.073</v>
      </c>
      <c r="G125" s="118">
        <v>0.086</v>
      </c>
      <c r="H125" s="118" t="s">
        <v>267</v>
      </c>
      <c r="I125" s="118" t="s">
        <v>268</v>
      </c>
      <c r="J125" s="118" t="s">
        <v>411</v>
      </c>
      <c r="K125" s="118" t="s">
        <v>272</v>
      </c>
      <c r="L125" s="118" t="s">
        <v>260</v>
      </c>
      <c r="M125" s="118" t="s">
        <v>303</v>
      </c>
      <c r="N125" s="118" t="s">
        <v>516</v>
      </c>
      <c r="O125" s="163" t="s">
        <v>425</v>
      </c>
      <c r="P125" s="251"/>
      <c r="Q125" s="162" t="str">
        <f t="shared" si="1"/>
        <v>4cX 300  </v>
      </c>
      <c r="R125" s="118">
        <v>0.13</v>
      </c>
      <c r="S125" s="118">
        <v>0.071</v>
      </c>
      <c r="T125" s="118">
        <v>0.0769</v>
      </c>
      <c r="U125" s="118">
        <v>0.071</v>
      </c>
      <c r="V125" s="118" t="s">
        <v>269</v>
      </c>
      <c r="W125" s="118" t="s">
        <v>267</v>
      </c>
      <c r="X125" s="118" t="s">
        <v>426</v>
      </c>
      <c r="Y125" s="118" t="s">
        <v>427</v>
      </c>
      <c r="Z125" s="118" t="s">
        <v>294</v>
      </c>
      <c r="AA125" s="118" t="s">
        <v>285</v>
      </c>
      <c r="AB125" s="118" t="s">
        <v>298</v>
      </c>
      <c r="AC125" s="163" t="s">
        <v>299</v>
      </c>
      <c r="AD125" s="252"/>
      <c r="AE125" s="251"/>
      <c r="AF125" s="251"/>
      <c r="AG125" s="251"/>
      <c r="AH125" s="251"/>
    </row>
    <row r="126" spans="1:34" ht="12.75">
      <c r="A126" s="251"/>
      <c r="B126" s="258"/>
      <c r="C126" s="164" t="s">
        <v>517</v>
      </c>
      <c r="D126" s="118">
        <v>0.09</v>
      </c>
      <c r="E126" s="118">
        <v>0.086</v>
      </c>
      <c r="F126" s="118">
        <v>0.059</v>
      </c>
      <c r="G126" s="118">
        <v>0.086</v>
      </c>
      <c r="H126" s="118" t="s">
        <v>260</v>
      </c>
      <c r="I126" s="118" t="s">
        <v>266</v>
      </c>
      <c r="J126" s="118" t="s">
        <v>289</v>
      </c>
      <c r="K126" s="118" t="s">
        <v>279</v>
      </c>
      <c r="L126" s="118" t="s">
        <v>471</v>
      </c>
      <c r="M126" s="118" t="s">
        <v>284</v>
      </c>
      <c r="N126" s="118" t="s">
        <v>518</v>
      </c>
      <c r="O126" s="163" t="s">
        <v>430</v>
      </c>
      <c r="P126" s="251"/>
      <c r="Q126" s="162" t="str">
        <f t="shared" si="1"/>
        <v>4cX 400  </v>
      </c>
      <c r="R126" s="118">
        <v>0.1</v>
      </c>
      <c r="S126" s="118">
        <v>0.07</v>
      </c>
      <c r="T126" s="118">
        <v>0.0602</v>
      </c>
      <c r="U126" s="118">
        <v>0.07</v>
      </c>
      <c r="V126" s="118" t="s">
        <v>284</v>
      </c>
      <c r="W126" s="118" t="s">
        <v>413</v>
      </c>
      <c r="X126" s="118" t="s">
        <v>431</v>
      </c>
      <c r="Y126" s="118" t="s">
        <v>432</v>
      </c>
      <c r="Z126" s="118" t="s">
        <v>433</v>
      </c>
      <c r="AA126" s="118" t="s">
        <v>297</v>
      </c>
      <c r="AB126" s="118" t="s">
        <v>310</v>
      </c>
      <c r="AC126" s="163" t="s">
        <v>311</v>
      </c>
      <c r="AD126" s="252"/>
      <c r="AE126" s="251"/>
      <c r="AF126" s="251"/>
      <c r="AG126" s="251"/>
      <c r="AH126" s="251"/>
    </row>
    <row r="127" spans="1:34" ht="12.75">
      <c r="A127" s="251"/>
      <c r="B127" s="258"/>
      <c r="C127" s="164" t="s">
        <v>519</v>
      </c>
      <c r="D127" s="118">
        <v>0.09</v>
      </c>
      <c r="E127" s="118">
        <v>0.086</v>
      </c>
      <c r="F127" s="118">
        <v>0.059</v>
      </c>
      <c r="G127" s="118">
        <v>0.086</v>
      </c>
      <c r="H127" s="118" t="s">
        <v>269</v>
      </c>
      <c r="I127" s="118" t="s">
        <v>256</v>
      </c>
      <c r="J127" s="118" t="s">
        <v>279</v>
      </c>
      <c r="K127" s="118" t="s">
        <v>324</v>
      </c>
      <c r="L127" s="118" t="s">
        <v>294</v>
      </c>
      <c r="M127" s="118" t="s">
        <v>432</v>
      </c>
      <c r="N127" s="118" t="s">
        <v>520</v>
      </c>
      <c r="O127" s="163" t="s">
        <v>436</v>
      </c>
      <c r="P127" s="251"/>
      <c r="Q127" s="162" t="str">
        <f t="shared" si="1"/>
        <v>4cX 500  </v>
      </c>
      <c r="R127" s="118">
        <v>0.1</v>
      </c>
      <c r="S127" s="118">
        <v>0.07</v>
      </c>
      <c r="T127" s="118">
        <v>0.0602</v>
      </c>
      <c r="U127" s="118">
        <v>0.07</v>
      </c>
      <c r="V127" s="118" t="s">
        <v>437</v>
      </c>
      <c r="W127" s="118" t="s">
        <v>417</v>
      </c>
      <c r="X127" s="118" t="s">
        <v>438</v>
      </c>
      <c r="Y127" s="118" t="s">
        <v>439</v>
      </c>
      <c r="Z127" s="118" t="s">
        <v>308</v>
      </c>
      <c r="AA127" s="118" t="s">
        <v>440</v>
      </c>
      <c r="AB127" s="118" t="s">
        <v>321</v>
      </c>
      <c r="AC127" s="163" t="s">
        <v>322</v>
      </c>
      <c r="AD127" s="252"/>
      <c r="AE127" s="251"/>
      <c r="AF127" s="251"/>
      <c r="AG127" s="251"/>
      <c r="AH127" s="251"/>
    </row>
    <row r="128" spans="1:34" ht="13.5" thickBot="1">
      <c r="A128" s="251"/>
      <c r="B128" s="258"/>
      <c r="C128" s="165" t="s">
        <v>521</v>
      </c>
      <c r="D128" s="159">
        <v>0.09</v>
      </c>
      <c r="E128" s="159">
        <v>0.086</v>
      </c>
      <c r="F128" s="159">
        <v>0.059</v>
      </c>
      <c r="G128" s="159">
        <v>0.086</v>
      </c>
      <c r="H128" s="159" t="s">
        <v>417</v>
      </c>
      <c r="I128" s="159" t="s">
        <v>413</v>
      </c>
      <c r="J128" s="159" t="s">
        <v>308</v>
      </c>
      <c r="K128" s="159" t="s">
        <v>328</v>
      </c>
      <c r="L128" s="159" t="s">
        <v>324</v>
      </c>
      <c r="M128" s="159" t="s">
        <v>474</v>
      </c>
      <c r="N128" s="159" t="s">
        <v>522</v>
      </c>
      <c r="O128" s="166" t="s">
        <v>475</v>
      </c>
      <c r="P128" s="251"/>
      <c r="Q128" s="250" t="str">
        <f t="shared" si="1"/>
        <v>4cX 630  </v>
      </c>
      <c r="R128" s="159">
        <v>0.1</v>
      </c>
      <c r="S128" s="159">
        <v>0.07</v>
      </c>
      <c r="T128" s="159">
        <v>0.0602</v>
      </c>
      <c r="U128" s="159">
        <v>0.07</v>
      </c>
      <c r="V128" s="159" t="s">
        <v>445</v>
      </c>
      <c r="W128" s="159" t="s">
        <v>324</v>
      </c>
      <c r="X128" s="159" t="s">
        <v>446</v>
      </c>
      <c r="Y128" s="159" t="s">
        <v>331</v>
      </c>
      <c r="Z128" s="159" t="s">
        <v>447</v>
      </c>
      <c r="AA128" s="159" t="s">
        <v>448</v>
      </c>
      <c r="AB128" s="159" t="s">
        <v>333</v>
      </c>
      <c r="AC128" s="166" t="s">
        <v>334</v>
      </c>
      <c r="AD128" s="252"/>
      <c r="AE128" s="251"/>
      <c r="AF128" s="251"/>
      <c r="AG128" s="251"/>
      <c r="AH128" s="251"/>
    </row>
    <row r="129" spans="1:34" ht="13.5" thickBot="1">
      <c r="A129" s="251"/>
      <c r="B129" s="258"/>
      <c r="C129" s="251"/>
      <c r="D129" s="251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  <c r="T129" s="251"/>
      <c r="U129" s="251"/>
      <c r="V129" s="251"/>
      <c r="W129" s="251"/>
      <c r="X129" s="251"/>
      <c r="Y129" s="251"/>
      <c r="Z129" s="251"/>
      <c r="AA129" s="251"/>
      <c r="AB129" s="251"/>
      <c r="AC129" s="251"/>
      <c r="AD129" s="252"/>
      <c r="AE129" s="251"/>
      <c r="AF129" s="251"/>
      <c r="AG129" s="251"/>
      <c r="AH129" s="251"/>
    </row>
    <row r="130" spans="1:34" ht="12.75" customHeight="1">
      <c r="A130" s="251"/>
      <c r="B130" s="258"/>
      <c r="C130" s="340" t="s">
        <v>114</v>
      </c>
      <c r="D130" s="341"/>
      <c r="E130" s="341"/>
      <c r="F130" s="341"/>
      <c r="G130" s="341"/>
      <c r="H130" s="341"/>
      <c r="I130" s="341"/>
      <c r="J130" s="341"/>
      <c r="K130" s="341"/>
      <c r="L130" s="341"/>
      <c r="M130" s="341"/>
      <c r="N130" s="341"/>
      <c r="O130" s="342"/>
      <c r="P130" s="251"/>
      <c r="Q130" s="251"/>
      <c r="R130" s="251"/>
      <c r="S130" s="251"/>
      <c r="T130" s="251"/>
      <c r="U130" s="251"/>
      <c r="V130" s="251"/>
      <c r="W130" s="251"/>
      <c r="X130" s="251"/>
      <c r="Y130" s="251"/>
      <c r="Z130" s="251"/>
      <c r="AA130" s="251"/>
      <c r="AB130" s="251"/>
      <c r="AC130" s="251"/>
      <c r="AD130" s="252"/>
      <c r="AE130" s="251"/>
      <c r="AF130" s="251"/>
      <c r="AG130" s="251"/>
      <c r="AH130" s="251"/>
    </row>
    <row r="131" spans="1:34" ht="46.5" customHeight="1">
      <c r="A131" s="251"/>
      <c r="B131" s="258"/>
      <c r="C131" s="346" t="s">
        <v>71</v>
      </c>
      <c r="D131" s="344" t="s">
        <v>101</v>
      </c>
      <c r="E131" s="344"/>
      <c r="F131" s="344" t="s">
        <v>102</v>
      </c>
      <c r="G131" s="344"/>
      <c r="H131" s="344" t="s">
        <v>111</v>
      </c>
      <c r="I131" s="344"/>
      <c r="J131" s="344"/>
      <c r="K131" s="344" t="s">
        <v>102</v>
      </c>
      <c r="L131" s="344"/>
      <c r="M131" s="344"/>
      <c r="N131" s="344" t="s">
        <v>103</v>
      </c>
      <c r="O131" s="343"/>
      <c r="P131" s="251"/>
      <c r="Q131" s="251"/>
      <c r="R131" s="251"/>
      <c r="S131" s="251"/>
      <c r="T131" s="251"/>
      <c r="U131" s="251"/>
      <c r="V131" s="251"/>
      <c r="W131" s="251"/>
      <c r="X131" s="251"/>
      <c r="Y131" s="251"/>
      <c r="Z131" s="251"/>
      <c r="AA131" s="251"/>
      <c r="AB131" s="251"/>
      <c r="AC131" s="251"/>
      <c r="AD131" s="252"/>
      <c r="AE131" s="251"/>
      <c r="AF131" s="251"/>
      <c r="AG131" s="251"/>
      <c r="AH131" s="251"/>
    </row>
    <row r="132" spans="1:34" ht="12.75">
      <c r="A132" s="251"/>
      <c r="B132" s="258"/>
      <c r="C132" s="346"/>
      <c r="D132" s="153" t="s">
        <v>104</v>
      </c>
      <c r="E132" s="153" t="s">
        <v>105</v>
      </c>
      <c r="F132" s="153" t="s">
        <v>104</v>
      </c>
      <c r="G132" s="153" t="s">
        <v>105</v>
      </c>
      <c r="H132" s="157" t="s">
        <v>51</v>
      </c>
      <c r="I132" s="157" t="s">
        <v>106</v>
      </c>
      <c r="J132" s="157" t="s">
        <v>50</v>
      </c>
      <c r="K132" s="157" t="s">
        <v>51</v>
      </c>
      <c r="L132" s="157" t="s">
        <v>106</v>
      </c>
      <c r="M132" s="157" t="s">
        <v>50</v>
      </c>
      <c r="N132" s="344" t="s">
        <v>101</v>
      </c>
      <c r="O132" s="343" t="s">
        <v>102</v>
      </c>
      <c r="P132" s="251"/>
      <c r="Q132" s="251"/>
      <c r="R132" s="251"/>
      <c r="S132" s="251"/>
      <c r="T132" s="251"/>
      <c r="U132" s="251"/>
      <c r="V132" s="251"/>
      <c r="W132" s="251"/>
      <c r="X132" s="251"/>
      <c r="Y132" s="251"/>
      <c r="Z132" s="251"/>
      <c r="AA132" s="251"/>
      <c r="AB132" s="251"/>
      <c r="AC132" s="251"/>
      <c r="AD132" s="252"/>
      <c r="AE132" s="251"/>
      <c r="AF132" s="251"/>
      <c r="AG132" s="251"/>
      <c r="AH132" s="251"/>
    </row>
    <row r="133" spans="1:34" ht="12.75">
      <c r="A133" s="251"/>
      <c r="B133" s="258"/>
      <c r="C133" s="347"/>
      <c r="D133" s="157" t="s">
        <v>107</v>
      </c>
      <c r="E133" s="157" t="s">
        <v>107</v>
      </c>
      <c r="F133" s="157" t="s">
        <v>107</v>
      </c>
      <c r="G133" s="157" t="s">
        <v>107</v>
      </c>
      <c r="H133" s="157" t="s">
        <v>0</v>
      </c>
      <c r="I133" s="157" t="s">
        <v>0</v>
      </c>
      <c r="J133" s="157" t="s">
        <v>0</v>
      </c>
      <c r="K133" s="157" t="s">
        <v>0</v>
      </c>
      <c r="L133" s="157" t="s">
        <v>0</v>
      </c>
      <c r="M133" s="157" t="s">
        <v>0</v>
      </c>
      <c r="N133" s="344"/>
      <c r="O133" s="343"/>
      <c r="P133" s="251"/>
      <c r="Q133" s="251"/>
      <c r="R133" s="251"/>
      <c r="S133" s="251"/>
      <c r="T133" s="251"/>
      <c r="U133" s="251"/>
      <c r="V133" s="251"/>
      <c r="W133" s="251"/>
      <c r="X133" s="251"/>
      <c r="Y133" s="251"/>
      <c r="Z133" s="251"/>
      <c r="AA133" s="251"/>
      <c r="AB133" s="251"/>
      <c r="AC133" s="251"/>
      <c r="AD133" s="252"/>
      <c r="AE133" s="251"/>
      <c r="AF133" s="251"/>
      <c r="AG133" s="251"/>
      <c r="AH133" s="251"/>
    </row>
    <row r="134" spans="1:34" ht="12.75">
      <c r="A134" s="251"/>
      <c r="B134" s="258"/>
      <c r="C134" s="162" t="s">
        <v>83</v>
      </c>
      <c r="D134" s="121">
        <v>1.1</v>
      </c>
      <c r="E134" s="121">
        <v>0.129</v>
      </c>
      <c r="F134" s="121">
        <v>1.1</v>
      </c>
      <c r="G134" s="121">
        <v>0.129</v>
      </c>
      <c r="H134" s="121" t="s">
        <v>200</v>
      </c>
      <c r="I134" s="121" t="s">
        <v>194</v>
      </c>
      <c r="J134" s="121" t="s">
        <v>212</v>
      </c>
      <c r="K134" s="121" t="s">
        <v>196</v>
      </c>
      <c r="L134" s="121" t="s">
        <v>195</v>
      </c>
      <c r="M134" s="121" t="s">
        <v>207</v>
      </c>
      <c r="N134" s="121" t="s">
        <v>385</v>
      </c>
      <c r="O134" s="167" t="s">
        <v>386</v>
      </c>
      <c r="P134" s="251"/>
      <c r="Q134" s="251"/>
      <c r="R134" s="251"/>
      <c r="S134" s="251"/>
      <c r="T134" s="251"/>
      <c r="U134" s="251"/>
      <c r="V134" s="251"/>
      <c r="W134" s="251"/>
      <c r="X134" s="251"/>
      <c r="Y134" s="251"/>
      <c r="Z134" s="251"/>
      <c r="AA134" s="251"/>
      <c r="AB134" s="251"/>
      <c r="AC134" s="251"/>
      <c r="AD134" s="252"/>
      <c r="AE134" s="251"/>
      <c r="AF134" s="251"/>
      <c r="AG134" s="251"/>
      <c r="AH134" s="251"/>
    </row>
    <row r="135" spans="1:34" ht="12.75">
      <c r="A135" s="251"/>
      <c r="B135" s="258"/>
      <c r="C135" s="162" t="s">
        <v>84</v>
      </c>
      <c r="D135" s="121">
        <v>1.1</v>
      </c>
      <c r="E135" s="121">
        <v>0.129</v>
      </c>
      <c r="F135" s="121">
        <v>1.1</v>
      </c>
      <c r="G135" s="121">
        <v>0.129</v>
      </c>
      <c r="H135" s="121" t="s">
        <v>212</v>
      </c>
      <c r="I135" s="121" t="s">
        <v>201</v>
      </c>
      <c r="J135" s="121" t="s">
        <v>197</v>
      </c>
      <c r="K135" s="121" t="s">
        <v>207</v>
      </c>
      <c r="L135" s="121" t="s">
        <v>208</v>
      </c>
      <c r="M135" s="121" t="s">
        <v>219</v>
      </c>
      <c r="N135" s="121" t="s">
        <v>391</v>
      </c>
      <c r="O135" s="167" t="s">
        <v>523</v>
      </c>
      <c r="P135" s="251"/>
      <c r="Q135" s="251"/>
      <c r="R135" s="251"/>
      <c r="S135" s="251"/>
      <c r="T135" s="251"/>
      <c r="U135" s="251"/>
      <c r="V135" s="251"/>
      <c r="W135" s="251"/>
      <c r="X135" s="251"/>
      <c r="Y135" s="251"/>
      <c r="Z135" s="251"/>
      <c r="AA135" s="251"/>
      <c r="AB135" s="251"/>
      <c r="AC135" s="251"/>
      <c r="AD135" s="252"/>
      <c r="AE135" s="251"/>
      <c r="AF135" s="251"/>
      <c r="AG135" s="251"/>
      <c r="AH135" s="251"/>
    </row>
    <row r="136" spans="1:34" ht="12.75">
      <c r="A136" s="251"/>
      <c r="B136" s="258"/>
      <c r="C136" s="162" t="s">
        <v>85</v>
      </c>
      <c r="D136" s="121">
        <v>0.822</v>
      </c>
      <c r="E136" s="121">
        <v>0.1293</v>
      </c>
      <c r="F136" s="121">
        <v>0.822</v>
      </c>
      <c r="G136" s="121">
        <v>0.1293</v>
      </c>
      <c r="H136" s="121" t="s">
        <v>208</v>
      </c>
      <c r="I136" s="121" t="s">
        <v>202</v>
      </c>
      <c r="J136" s="121" t="s">
        <v>218</v>
      </c>
      <c r="K136" s="121" t="s">
        <v>219</v>
      </c>
      <c r="L136" s="121" t="s">
        <v>398</v>
      </c>
      <c r="M136" s="121" t="s">
        <v>234</v>
      </c>
      <c r="N136" s="121" t="s">
        <v>395</v>
      </c>
      <c r="O136" s="167" t="s">
        <v>396</v>
      </c>
      <c r="P136" s="251"/>
      <c r="Q136" s="251"/>
      <c r="R136" s="251"/>
      <c r="S136" s="251"/>
      <c r="T136" s="251"/>
      <c r="U136" s="251"/>
      <c r="V136" s="251"/>
      <c r="W136" s="251"/>
      <c r="X136" s="251"/>
      <c r="Y136" s="251"/>
      <c r="Z136" s="251"/>
      <c r="AA136" s="251"/>
      <c r="AB136" s="251"/>
      <c r="AC136" s="251"/>
      <c r="AD136" s="252"/>
      <c r="AE136" s="251"/>
      <c r="AF136" s="251"/>
      <c r="AG136" s="251"/>
      <c r="AH136" s="251"/>
    </row>
    <row r="137" spans="1:34" ht="12.75">
      <c r="A137" s="251"/>
      <c r="B137" s="258"/>
      <c r="C137" s="162" t="s">
        <v>86</v>
      </c>
      <c r="D137" s="121">
        <v>0.568</v>
      </c>
      <c r="E137" s="121">
        <v>0.1195</v>
      </c>
      <c r="F137" s="121">
        <v>0.568</v>
      </c>
      <c r="G137" s="121">
        <v>0.1195</v>
      </c>
      <c r="H137" s="121" t="s">
        <v>209</v>
      </c>
      <c r="I137" s="121" t="s">
        <v>207</v>
      </c>
      <c r="J137" s="121" t="s">
        <v>220</v>
      </c>
      <c r="K137" s="121" t="s">
        <v>229</v>
      </c>
      <c r="L137" s="121" t="s">
        <v>245</v>
      </c>
      <c r="M137" s="121" t="s">
        <v>302</v>
      </c>
      <c r="N137" s="121" t="s">
        <v>402</v>
      </c>
      <c r="O137" s="167" t="s">
        <v>233</v>
      </c>
      <c r="P137" s="251"/>
      <c r="Q137" s="251"/>
      <c r="R137" s="251"/>
      <c r="S137" s="251"/>
      <c r="T137" s="251"/>
      <c r="U137" s="251"/>
      <c r="V137" s="251"/>
      <c r="W137" s="251"/>
      <c r="X137" s="251"/>
      <c r="Y137" s="251"/>
      <c r="Z137" s="251"/>
      <c r="AA137" s="251"/>
      <c r="AB137" s="251"/>
      <c r="AC137" s="251"/>
      <c r="AD137" s="252"/>
      <c r="AE137" s="251"/>
      <c r="AF137" s="251"/>
      <c r="AG137" s="251"/>
      <c r="AH137" s="251"/>
    </row>
    <row r="138" spans="1:34" ht="12.75">
      <c r="A138" s="251"/>
      <c r="B138" s="258"/>
      <c r="C138" s="162" t="s">
        <v>87</v>
      </c>
      <c r="D138" s="121">
        <v>0.411</v>
      </c>
      <c r="E138" s="121">
        <v>0.113</v>
      </c>
      <c r="F138" s="121">
        <v>0.411</v>
      </c>
      <c r="G138" s="121">
        <v>0.113</v>
      </c>
      <c r="H138" s="121" t="s">
        <v>224</v>
      </c>
      <c r="I138" s="121" t="s">
        <v>399</v>
      </c>
      <c r="J138" s="121" t="s">
        <v>268</v>
      </c>
      <c r="K138" s="121" t="s">
        <v>240</v>
      </c>
      <c r="L138" s="121" t="s">
        <v>241</v>
      </c>
      <c r="M138" s="121" t="s">
        <v>282</v>
      </c>
      <c r="N138" s="121" t="s">
        <v>405</v>
      </c>
      <c r="O138" s="167" t="s">
        <v>244</v>
      </c>
      <c r="P138" s="251"/>
      <c r="Q138" s="251"/>
      <c r="R138" s="251"/>
      <c r="S138" s="251"/>
      <c r="T138" s="251"/>
      <c r="U138" s="251"/>
      <c r="V138" s="251"/>
      <c r="W138" s="251"/>
      <c r="X138" s="251"/>
      <c r="Y138" s="251"/>
      <c r="Z138" s="251"/>
      <c r="AA138" s="251"/>
      <c r="AB138" s="251"/>
      <c r="AC138" s="251"/>
      <c r="AD138" s="252"/>
      <c r="AE138" s="251"/>
      <c r="AF138" s="251"/>
      <c r="AG138" s="251"/>
      <c r="AH138" s="251"/>
    </row>
    <row r="139" spans="1:34" ht="12.75">
      <c r="A139" s="251"/>
      <c r="B139" s="258"/>
      <c r="C139" s="162" t="s">
        <v>88</v>
      </c>
      <c r="D139" s="121">
        <v>0.325</v>
      </c>
      <c r="E139" s="121">
        <v>0.1085</v>
      </c>
      <c r="F139" s="121">
        <v>0.325</v>
      </c>
      <c r="G139" s="121">
        <v>0.1085</v>
      </c>
      <c r="H139" s="121" t="s">
        <v>241</v>
      </c>
      <c r="I139" s="121" t="s">
        <v>224</v>
      </c>
      <c r="J139" s="121" t="s">
        <v>267</v>
      </c>
      <c r="K139" s="121" t="s">
        <v>251</v>
      </c>
      <c r="L139" s="121" t="s">
        <v>240</v>
      </c>
      <c r="M139" s="121" t="s">
        <v>294</v>
      </c>
      <c r="N139" s="121" t="s">
        <v>253</v>
      </c>
      <c r="O139" s="167" t="s">
        <v>254</v>
      </c>
      <c r="P139" s="251"/>
      <c r="Q139" s="251"/>
      <c r="R139" s="251"/>
      <c r="S139" s="251"/>
      <c r="T139" s="251"/>
      <c r="U139" s="251"/>
      <c r="V139" s="251"/>
      <c r="W139" s="251"/>
      <c r="X139" s="251"/>
      <c r="Y139" s="251"/>
      <c r="Z139" s="251"/>
      <c r="AA139" s="251"/>
      <c r="AB139" s="251"/>
      <c r="AC139" s="251"/>
      <c r="AD139" s="252"/>
      <c r="AE139" s="251"/>
      <c r="AF139" s="251"/>
      <c r="AG139" s="251"/>
      <c r="AH139" s="251"/>
    </row>
    <row r="140" spans="1:34" ht="12.75">
      <c r="A140" s="251"/>
      <c r="B140" s="258"/>
      <c r="C140" s="164" t="s">
        <v>255</v>
      </c>
      <c r="D140" s="121">
        <v>0.265</v>
      </c>
      <c r="E140" s="121">
        <v>0.1062</v>
      </c>
      <c r="F140" s="121">
        <v>0.265</v>
      </c>
      <c r="G140" s="121">
        <v>0.1062</v>
      </c>
      <c r="H140" s="121" t="s">
        <v>268</v>
      </c>
      <c r="I140" s="121" t="s">
        <v>250</v>
      </c>
      <c r="J140" s="121" t="s">
        <v>277</v>
      </c>
      <c r="K140" s="121" t="s">
        <v>260</v>
      </c>
      <c r="L140" s="121" t="s">
        <v>271</v>
      </c>
      <c r="M140" s="121" t="s">
        <v>433</v>
      </c>
      <c r="N140" s="121" t="s">
        <v>262</v>
      </c>
      <c r="O140" s="167" t="s">
        <v>263</v>
      </c>
      <c r="P140" s="251"/>
      <c r="Q140" s="251"/>
      <c r="R140" s="251"/>
      <c r="S140" s="251"/>
      <c r="T140" s="251"/>
      <c r="U140" s="251"/>
      <c r="V140" s="251"/>
      <c r="W140" s="251"/>
      <c r="X140" s="251"/>
      <c r="Y140" s="251"/>
      <c r="Z140" s="251"/>
      <c r="AA140" s="251"/>
      <c r="AB140" s="251"/>
      <c r="AC140" s="251"/>
      <c r="AD140" s="252"/>
      <c r="AE140" s="251"/>
      <c r="AF140" s="251"/>
      <c r="AG140" s="251"/>
      <c r="AH140" s="251"/>
    </row>
    <row r="141" spans="1:34" ht="12.75">
      <c r="A141" s="251"/>
      <c r="B141" s="258"/>
      <c r="C141" s="164" t="s">
        <v>264</v>
      </c>
      <c r="D141" s="121">
        <v>0.211</v>
      </c>
      <c r="E141" s="121">
        <v>0.1025</v>
      </c>
      <c r="F141" s="121">
        <v>0.211</v>
      </c>
      <c r="G141" s="121">
        <v>0.1025</v>
      </c>
      <c r="H141" s="121" t="s">
        <v>271</v>
      </c>
      <c r="I141" s="121" t="s">
        <v>268</v>
      </c>
      <c r="J141" s="121" t="s">
        <v>524</v>
      </c>
      <c r="K141" s="121" t="s">
        <v>252</v>
      </c>
      <c r="L141" s="121" t="s">
        <v>242</v>
      </c>
      <c r="M141" s="121" t="s">
        <v>421</v>
      </c>
      <c r="N141" s="121" t="s">
        <v>274</v>
      </c>
      <c r="O141" s="167" t="s">
        <v>275</v>
      </c>
      <c r="P141" s="251"/>
      <c r="Q141" s="251"/>
      <c r="R141" s="251"/>
      <c r="S141" s="251"/>
      <c r="T141" s="251"/>
      <c r="U141" s="251"/>
      <c r="V141" s="251"/>
      <c r="W141" s="251"/>
      <c r="X141" s="251"/>
      <c r="Y141" s="251"/>
      <c r="Z141" s="251"/>
      <c r="AA141" s="251"/>
      <c r="AB141" s="251"/>
      <c r="AC141" s="251"/>
      <c r="AD141" s="252"/>
      <c r="AE141" s="251"/>
      <c r="AF141" s="251"/>
      <c r="AG141" s="251"/>
      <c r="AH141" s="251"/>
    </row>
    <row r="142" spans="1:34" ht="12.75">
      <c r="A142" s="251"/>
      <c r="B142" s="258"/>
      <c r="C142" s="164" t="s">
        <v>276</v>
      </c>
      <c r="D142" s="121">
        <v>0.161</v>
      </c>
      <c r="E142" s="121">
        <v>0.1011</v>
      </c>
      <c r="F142" s="121">
        <v>0.161</v>
      </c>
      <c r="G142" s="121">
        <v>0.1011</v>
      </c>
      <c r="H142" s="121" t="s">
        <v>282</v>
      </c>
      <c r="I142" s="121" t="s">
        <v>251</v>
      </c>
      <c r="J142" s="121" t="s">
        <v>324</v>
      </c>
      <c r="K142" s="121" t="s">
        <v>284</v>
      </c>
      <c r="L142" s="121" t="s">
        <v>252</v>
      </c>
      <c r="M142" s="121" t="s">
        <v>525</v>
      </c>
      <c r="N142" s="121" t="s">
        <v>286</v>
      </c>
      <c r="O142" s="167" t="s">
        <v>287</v>
      </c>
      <c r="P142" s="251"/>
      <c r="Q142" s="251"/>
      <c r="R142" s="251"/>
      <c r="S142" s="251"/>
      <c r="T142" s="251"/>
      <c r="U142" s="251"/>
      <c r="V142" s="251"/>
      <c r="W142" s="251"/>
      <c r="X142" s="251"/>
      <c r="Y142" s="251"/>
      <c r="Z142" s="251"/>
      <c r="AA142" s="251"/>
      <c r="AB142" s="251"/>
      <c r="AC142" s="251"/>
      <c r="AD142" s="252"/>
      <c r="AE142" s="251"/>
      <c r="AF142" s="251"/>
      <c r="AG142" s="251"/>
      <c r="AH142" s="251"/>
    </row>
    <row r="143" spans="1:34" ht="12.75">
      <c r="A143" s="251"/>
      <c r="B143" s="258"/>
      <c r="C143" s="164" t="s">
        <v>288</v>
      </c>
      <c r="D143" s="121">
        <v>0.13</v>
      </c>
      <c r="E143" s="121">
        <v>0.0988</v>
      </c>
      <c r="F143" s="121">
        <v>0.13</v>
      </c>
      <c r="G143" s="121">
        <v>0.0988</v>
      </c>
      <c r="H143" s="121" t="s">
        <v>272</v>
      </c>
      <c r="I143" s="121" t="s">
        <v>260</v>
      </c>
      <c r="J143" s="121" t="s">
        <v>435</v>
      </c>
      <c r="K143" s="121" t="s">
        <v>296</v>
      </c>
      <c r="L143" s="121" t="s">
        <v>279</v>
      </c>
      <c r="M143" s="121" t="s">
        <v>331</v>
      </c>
      <c r="N143" s="121" t="s">
        <v>298</v>
      </c>
      <c r="O143" s="167" t="s">
        <v>299</v>
      </c>
      <c r="P143" s="251"/>
      <c r="Q143" s="251"/>
      <c r="R143" s="251"/>
      <c r="S143" s="251"/>
      <c r="T143" s="251"/>
      <c r="U143" s="251"/>
      <c r="V143" s="251"/>
      <c r="W143" s="251"/>
      <c r="X143" s="251"/>
      <c r="Y143" s="251"/>
      <c r="Z143" s="251"/>
      <c r="AA143" s="251"/>
      <c r="AB143" s="251"/>
      <c r="AC143" s="251"/>
      <c r="AD143" s="252"/>
      <c r="AE143" s="251"/>
      <c r="AF143" s="251"/>
      <c r="AG143" s="251"/>
      <c r="AH143" s="251"/>
    </row>
    <row r="144" spans="1:34" ht="12.75">
      <c r="A144" s="251"/>
      <c r="B144" s="258"/>
      <c r="C144" s="164" t="s">
        <v>300</v>
      </c>
      <c r="D144" s="121">
        <v>0.102</v>
      </c>
      <c r="E144" s="121">
        <v>0.0959</v>
      </c>
      <c r="F144" s="121">
        <v>0.102</v>
      </c>
      <c r="G144" s="121">
        <v>0.0959</v>
      </c>
      <c r="H144" s="121" t="s">
        <v>526</v>
      </c>
      <c r="I144" s="121" t="s">
        <v>433</v>
      </c>
      <c r="J144" s="121" t="s">
        <v>252</v>
      </c>
      <c r="K144" s="121" t="s">
        <v>342</v>
      </c>
      <c r="L144" s="121" t="s">
        <v>304</v>
      </c>
      <c r="M144" s="121" t="s">
        <v>308</v>
      </c>
      <c r="N144" s="121" t="s">
        <v>527</v>
      </c>
      <c r="O144" s="167" t="s">
        <v>310</v>
      </c>
      <c r="P144" s="251"/>
      <c r="Q144" s="251"/>
      <c r="R144" s="251"/>
      <c r="S144" s="251"/>
      <c r="T144" s="251"/>
      <c r="U144" s="251"/>
      <c r="V144" s="251"/>
      <c r="W144" s="251"/>
      <c r="X144" s="251"/>
      <c r="Y144" s="251"/>
      <c r="Z144" s="251"/>
      <c r="AA144" s="251"/>
      <c r="AB144" s="251"/>
      <c r="AC144" s="251"/>
      <c r="AD144" s="252"/>
      <c r="AE144" s="251"/>
      <c r="AF144" s="251"/>
      <c r="AG144" s="251"/>
      <c r="AH144" s="251"/>
    </row>
    <row r="145" spans="1:34" ht="12.75">
      <c r="A145" s="251"/>
      <c r="B145" s="258"/>
      <c r="C145" s="164" t="s">
        <v>312</v>
      </c>
      <c r="D145" s="121">
        <v>0.08</v>
      </c>
      <c r="E145" s="121">
        <v>0.0936</v>
      </c>
      <c r="F145" s="121">
        <v>0.08</v>
      </c>
      <c r="G145" s="121">
        <v>0.0936</v>
      </c>
      <c r="H145" s="121" t="s">
        <v>528</v>
      </c>
      <c r="I145" s="121" t="s">
        <v>273</v>
      </c>
      <c r="J145" s="121" t="s">
        <v>261</v>
      </c>
      <c r="K145" s="121" t="s">
        <v>529</v>
      </c>
      <c r="L145" s="121" t="s">
        <v>318</v>
      </c>
      <c r="M145" s="121" t="s">
        <v>319</v>
      </c>
      <c r="N145" s="121" t="s">
        <v>530</v>
      </c>
      <c r="O145" s="167" t="s">
        <v>321</v>
      </c>
      <c r="P145" s="251"/>
      <c r="Q145" s="251"/>
      <c r="R145" s="251"/>
      <c r="S145" s="251"/>
      <c r="T145" s="251"/>
      <c r="U145" s="251"/>
      <c r="V145" s="251"/>
      <c r="W145" s="251"/>
      <c r="X145" s="251"/>
      <c r="Y145" s="251"/>
      <c r="Z145" s="251"/>
      <c r="AA145" s="251"/>
      <c r="AB145" s="251"/>
      <c r="AC145" s="251"/>
      <c r="AD145" s="252"/>
      <c r="AE145" s="251"/>
      <c r="AF145" s="251"/>
      <c r="AG145" s="251"/>
      <c r="AH145" s="251"/>
    </row>
    <row r="146" spans="1:34" ht="12.75">
      <c r="A146" s="251"/>
      <c r="B146" s="258"/>
      <c r="C146" s="164" t="s">
        <v>323</v>
      </c>
      <c r="D146" s="121">
        <v>0.063</v>
      </c>
      <c r="E146" s="121">
        <v>0.0919</v>
      </c>
      <c r="F146" s="121">
        <v>0.063</v>
      </c>
      <c r="G146" s="121">
        <v>0.0919</v>
      </c>
      <c r="H146" s="121" t="s">
        <v>531</v>
      </c>
      <c r="I146" s="121" t="s">
        <v>532</v>
      </c>
      <c r="J146" s="121" t="s">
        <v>308</v>
      </c>
      <c r="K146" s="121" t="s">
        <v>533</v>
      </c>
      <c r="L146" s="121" t="s">
        <v>331</v>
      </c>
      <c r="M146" s="121" t="s">
        <v>439</v>
      </c>
      <c r="N146" s="121" t="s">
        <v>534</v>
      </c>
      <c r="O146" s="167" t="s">
        <v>333</v>
      </c>
      <c r="P146" s="251"/>
      <c r="Q146" s="251"/>
      <c r="R146" s="251"/>
      <c r="S146" s="251"/>
      <c r="T146" s="251"/>
      <c r="U146" s="251"/>
      <c r="V146" s="251"/>
      <c r="W146" s="251"/>
      <c r="X146" s="251"/>
      <c r="Y146" s="251"/>
      <c r="Z146" s="251"/>
      <c r="AA146" s="251"/>
      <c r="AB146" s="251"/>
      <c r="AC146" s="251"/>
      <c r="AD146" s="252"/>
      <c r="AE146" s="251"/>
      <c r="AF146" s="251"/>
      <c r="AG146" s="251"/>
      <c r="AH146" s="251"/>
    </row>
    <row r="147" spans="1:34" ht="12.75">
      <c r="A147" s="251"/>
      <c r="B147" s="258"/>
      <c r="C147" s="164" t="s">
        <v>335</v>
      </c>
      <c r="D147" s="121">
        <v>0.0513</v>
      </c>
      <c r="E147" s="121">
        <v>0.0895</v>
      </c>
      <c r="F147" s="121">
        <v>0.0513</v>
      </c>
      <c r="G147" s="121">
        <v>0.0895</v>
      </c>
      <c r="H147" s="121" t="s">
        <v>535</v>
      </c>
      <c r="I147" s="121" t="s">
        <v>536</v>
      </c>
      <c r="J147" s="121" t="s">
        <v>319</v>
      </c>
      <c r="K147" s="121" t="s">
        <v>537</v>
      </c>
      <c r="L147" s="121" t="s">
        <v>341</v>
      </c>
      <c r="M147" s="121" t="s">
        <v>342</v>
      </c>
      <c r="N147" s="121" t="s">
        <v>343</v>
      </c>
      <c r="O147" s="167" t="s">
        <v>344</v>
      </c>
      <c r="P147" s="251"/>
      <c r="Q147" s="251"/>
      <c r="R147" s="251"/>
      <c r="S147" s="251"/>
      <c r="T147" s="251"/>
      <c r="U147" s="251"/>
      <c r="V147" s="251"/>
      <c r="W147" s="251"/>
      <c r="X147" s="251"/>
      <c r="Y147" s="251"/>
      <c r="Z147" s="251"/>
      <c r="AA147" s="251"/>
      <c r="AB147" s="251"/>
      <c r="AC147" s="251"/>
      <c r="AD147" s="252"/>
      <c r="AE147" s="251"/>
      <c r="AF147" s="251"/>
      <c r="AG147" s="251"/>
      <c r="AH147" s="251"/>
    </row>
    <row r="148" spans="1:34" ht="12.75">
      <c r="A148" s="251"/>
      <c r="B148" s="258"/>
      <c r="C148" s="164" t="s">
        <v>346</v>
      </c>
      <c r="D148" s="121">
        <v>0.0426</v>
      </c>
      <c r="E148" s="121">
        <v>0.0875</v>
      </c>
      <c r="F148" s="121">
        <v>0.0426</v>
      </c>
      <c r="G148" s="121">
        <v>0.0875</v>
      </c>
      <c r="H148" s="121" t="s">
        <v>538</v>
      </c>
      <c r="I148" s="121" t="s">
        <v>331</v>
      </c>
      <c r="J148" s="121" t="s">
        <v>439</v>
      </c>
      <c r="K148" s="121" t="s">
        <v>539</v>
      </c>
      <c r="L148" s="121" t="s">
        <v>527</v>
      </c>
      <c r="M148" s="121" t="s">
        <v>297</v>
      </c>
      <c r="N148" s="121" t="s">
        <v>354</v>
      </c>
      <c r="O148" s="167" t="s">
        <v>355</v>
      </c>
      <c r="P148" s="251"/>
      <c r="Q148" s="251"/>
      <c r="R148" s="251"/>
      <c r="S148" s="251"/>
      <c r="T148" s="251"/>
      <c r="U148" s="251"/>
      <c r="V148" s="251"/>
      <c r="W148" s="251"/>
      <c r="X148" s="251"/>
      <c r="Y148" s="251"/>
      <c r="Z148" s="251"/>
      <c r="AA148" s="251"/>
      <c r="AB148" s="251"/>
      <c r="AC148" s="251"/>
      <c r="AD148" s="252"/>
      <c r="AE148" s="251"/>
      <c r="AF148" s="251"/>
      <c r="AG148" s="251"/>
      <c r="AH148" s="251"/>
    </row>
    <row r="149" spans="1:34" ht="12.75">
      <c r="A149" s="251"/>
      <c r="B149" s="258"/>
      <c r="C149" s="164" t="s">
        <v>456</v>
      </c>
      <c r="D149" s="121">
        <v>1.1</v>
      </c>
      <c r="E149" s="121">
        <v>0.134</v>
      </c>
      <c r="F149" s="121">
        <v>1.1</v>
      </c>
      <c r="G149" s="121">
        <v>0.134</v>
      </c>
      <c r="H149" s="121" t="s">
        <v>384</v>
      </c>
      <c r="I149" s="121" t="s">
        <v>179</v>
      </c>
      <c r="J149" s="121" t="s">
        <v>201</v>
      </c>
      <c r="K149" s="121" t="s">
        <v>212</v>
      </c>
      <c r="L149" s="121" t="s">
        <v>201</v>
      </c>
      <c r="M149" s="121" t="s">
        <v>206</v>
      </c>
      <c r="N149" s="121" t="s">
        <v>385</v>
      </c>
      <c r="O149" s="167" t="s">
        <v>386</v>
      </c>
      <c r="P149" s="251"/>
      <c r="Q149" s="251"/>
      <c r="R149" s="251"/>
      <c r="S149" s="251"/>
      <c r="T149" s="251"/>
      <c r="U149" s="251"/>
      <c r="V149" s="251"/>
      <c r="W149" s="251"/>
      <c r="X149" s="251"/>
      <c r="Y149" s="251"/>
      <c r="Z149" s="251"/>
      <c r="AA149" s="251"/>
      <c r="AB149" s="251"/>
      <c r="AC149" s="251"/>
      <c r="AD149" s="252"/>
      <c r="AE149" s="251"/>
      <c r="AF149" s="251"/>
      <c r="AG149" s="251"/>
      <c r="AH149" s="251"/>
    </row>
    <row r="150" spans="1:34" ht="12.75">
      <c r="A150" s="251"/>
      <c r="B150" s="258"/>
      <c r="C150" s="164" t="s">
        <v>458</v>
      </c>
      <c r="D150" s="121">
        <v>1.1</v>
      </c>
      <c r="E150" s="121">
        <v>0.134</v>
      </c>
      <c r="F150" s="121">
        <v>1.1</v>
      </c>
      <c r="G150" s="121">
        <v>0.134</v>
      </c>
      <c r="H150" s="121" t="s">
        <v>195</v>
      </c>
      <c r="I150" s="121" t="s">
        <v>382</v>
      </c>
      <c r="J150" s="121" t="s">
        <v>202</v>
      </c>
      <c r="K150" s="121" t="s">
        <v>197</v>
      </c>
      <c r="L150" s="121" t="s">
        <v>202</v>
      </c>
      <c r="M150" s="121" t="s">
        <v>214</v>
      </c>
      <c r="N150" s="121" t="s">
        <v>391</v>
      </c>
      <c r="O150" s="167" t="s">
        <v>392</v>
      </c>
      <c r="P150" s="251"/>
      <c r="Q150" s="251"/>
      <c r="R150" s="251"/>
      <c r="S150" s="251"/>
      <c r="T150" s="251"/>
      <c r="U150" s="251"/>
      <c r="V150" s="251"/>
      <c r="W150" s="251"/>
      <c r="X150" s="251"/>
      <c r="Y150" s="251"/>
      <c r="Z150" s="251"/>
      <c r="AA150" s="251"/>
      <c r="AB150" s="251"/>
      <c r="AC150" s="251"/>
      <c r="AD150" s="252"/>
      <c r="AE150" s="251"/>
      <c r="AF150" s="251"/>
      <c r="AG150" s="251"/>
      <c r="AH150" s="251"/>
    </row>
    <row r="151" spans="1:34" ht="12.75">
      <c r="A151" s="251"/>
      <c r="B151" s="258"/>
      <c r="C151" s="164" t="s">
        <v>459</v>
      </c>
      <c r="D151" s="121">
        <v>0.822</v>
      </c>
      <c r="E151" s="121">
        <v>0.1358</v>
      </c>
      <c r="F151" s="121">
        <v>0.822</v>
      </c>
      <c r="G151" s="121">
        <v>0.1358</v>
      </c>
      <c r="H151" s="121" t="s">
        <v>196</v>
      </c>
      <c r="I151" s="121" t="s">
        <v>195</v>
      </c>
      <c r="J151" s="121" t="s">
        <v>213</v>
      </c>
      <c r="K151" s="121" t="s">
        <v>218</v>
      </c>
      <c r="L151" s="121" t="s">
        <v>213</v>
      </c>
      <c r="M151" s="121" t="s">
        <v>245</v>
      </c>
      <c r="N151" s="121" t="s">
        <v>395</v>
      </c>
      <c r="O151" s="167" t="s">
        <v>396</v>
      </c>
      <c r="P151" s="251"/>
      <c r="Q151" s="251"/>
      <c r="R151" s="251"/>
      <c r="S151" s="251"/>
      <c r="T151" s="251"/>
      <c r="U151" s="251"/>
      <c r="V151" s="251"/>
      <c r="W151" s="251"/>
      <c r="X151" s="251"/>
      <c r="Y151" s="251"/>
      <c r="Z151" s="251"/>
      <c r="AA151" s="251"/>
      <c r="AB151" s="251"/>
      <c r="AC151" s="251"/>
      <c r="AD151" s="252"/>
      <c r="AE151" s="251"/>
      <c r="AF151" s="251"/>
      <c r="AG151" s="251"/>
      <c r="AH151" s="251"/>
    </row>
    <row r="152" spans="1:34" ht="12.75">
      <c r="A152" s="251"/>
      <c r="B152" s="258"/>
      <c r="C152" s="164" t="s">
        <v>460</v>
      </c>
      <c r="D152" s="121">
        <v>0.568</v>
      </c>
      <c r="E152" s="121">
        <v>0.1237</v>
      </c>
      <c r="F152" s="121">
        <v>0.568</v>
      </c>
      <c r="G152" s="121">
        <v>0.1237</v>
      </c>
      <c r="H152" s="121" t="s">
        <v>398</v>
      </c>
      <c r="I152" s="121" t="s">
        <v>208</v>
      </c>
      <c r="J152" s="121" t="s">
        <v>223</v>
      </c>
      <c r="K152" s="121" t="s">
        <v>228</v>
      </c>
      <c r="L152" s="121" t="s">
        <v>399</v>
      </c>
      <c r="M152" s="121" t="s">
        <v>265</v>
      </c>
      <c r="N152" s="121" t="s">
        <v>402</v>
      </c>
      <c r="O152" s="167" t="s">
        <v>233</v>
      </c>
      <c r="P152" s="251"/>
      <c r="Q152" s="251"/>
      <c r="R152" s="251"/>
      <c r="S152" s="251"/>
      <c r="T152" s="251"/>
      <c r="U152" s="251"/>
      <c r="V152" s="251"/>
      <c r="W152" s="251"/>
      <c r="X152" s="251"/>
      <c r="Y152" s="251"/>
      <c r="Z152" s="251"/>
      <c r="AA152" s="251"/>
      <c r="AB152" s="251"/>
      <c r="AC152" s="251"/>
      <c r="AD152" s="252"/>
      <c r="AE152" s="251"/>
      <c r="AF152" s="251"/>
      <c r="AG152" s="251"/>
      <c r="AH152" s="251"/>
    </row>
    <row r="153" spans="1:34" ht="12.75">
      <c r="A153" s="251"/>
      <c r="B153" s="258"/>
      <c r="C153" s="164" t="s">
        <v>461</v>
      </c>
      <c r="D153" s="121">
        <v>0.411</v>
      </c>
      <c r="E153" s="121">
        <v>0.1168</v>
      </c>
      <c r="F153" s="121">
        <v>0.411</v>
      </c>
      <c r="G153" s="121">
        <v>0.1168</v>
      </c>
      <c r="H153" s="121" t="s">
        <v>223</v>
      </c>
      <c r="I153" s="121" t="s">
        <v>214</v>
      </c>
      <c r="J153" s="121" t="s">
        <v>250</v>
      </c>
      <c r="K153" s="121" t="s">
        <v>246</v>
      </c>
      <c r="L153" s="121" t="s">
        <v>220</v>
      </c>
      <c r="M153" s="121" t="s">
        <v>271</v>
      </c>
      <c r="N153" s="121" t="s">
        <v>405</v>
      </c>
      <c r="O153" s="167" t="s">
        <v>244</v>
      </c>
      <c r="P153" s="251"/>
      <c r="Q153" s="251"/>
      <c r="R153" s="251"/>
      <c r="S153" s="251"/>
      <c r="T153" s="251"/>
      <c r="U153" s="251"/>
      <c r="V153" s="251"/>
      <c r="W153" s="251"/>
      <c r="X153" s="251"/>
      <c r="Y153" s="251"/>
      <c r="Z153" s="251"/>
      <c r="AA153" s="251"/>
      <c r="AB153" s="251"/>
      <c r="AC153" s="251"/>
      <c r="AD153" s="252"/>
      <c r="AE153" s="251"/>
      <c r="AF153" s="251"/>
      <c r="AG153" s="251"/>
      <c r="AH153" s="251"/>
    </row>
    <row r="154" spans="1:34" ht="12.75">
      <c r="A154" s="251"/>
      <c r="B154" s="258"/>
      <c r="C154" s="164" t="s">
        <v>463</v>
      </c>
      <c r="D154" s="121">
        <v>0.325</v>
      </c>
      <c r="E154" s="121">
        <v>0.1128</v>
      </c>
      <c r="F154" s="121">
        <v>0.325</v>
      </c>
      <c r="G154" s="121">
        <v>0.1128</v>
      </c>
      <c r="H154" s="121" t="s">
        <v>234</v>
      </c>
      <c r="I154" s="121" t="s">
        <v>223</v>
      </c>
      <c r="J154" s="121" t="s">
        <v>268</v>
      </c>
      <c r="K154" s="121" t="s">
        <v>247</v>
      </c>
      <c r="L154" s="121" t="s">
        <v>265</v>
      </c>
      <c r="M154" s="121" t="s">
        <v>260</v>
      </c>
      <c r="N154" s="121" t="s">
        <v>253</v>
      </c>
      <c r="O154" s="167" t="s">
        <v>254</v>
      </c>
      <c r="P154" s="251"/>
      <c r="Q154" s="251"/>
      <c r="R154" s="251"/>
      <c r="S154" s="251"/>
      <c r="T154" s="251"/>
      <c r="U154" s="251"/>
      <c r="V154" s="251"/>
      <c r="W154" s="251"/>
      <c r="X154" s="251"/>
      <c r="Y154" s="251"/>
      <c r="Z154" s="251"/>
      <c r="AA154" s="251"/>
      <c r="AB154" s="251"/>
      <c r="AC154" s="251"/>
      <c r="AD154" s="252"/>
      <c r="AE154" s="251"/>
      <c r="AF154" s="251"/>
      <c r="AG154" s="251"/>
      <c r="AH154" s="251"/>
    </row>
    <row r="155" spans="1:34" ht="12.75">
      <c r="A155" s="251"/>
      <c r="B155" s="258"/>
      <c r="C155" s="164" t="s">
        <v>465</v>
      </c>
      <c r="D155" s="121">
        <v>0.265</v>
      </c>
      <c r="E155" s="121">
        <v>0.1096</v>
      </c>
      <c r="F155" s="121">
        <v>0.265</v>
      </c>
      <c r="G155" s="121">
        <v>0.1096</v>
      </c>
      <c r="H155" s="121" t="s">
        <v>235</v>
      </c>
      <c r="I155" s="121" t="s">
        <v>228</v>
      </c>
      <c r="J155" s="121" t="s">
        <v>271</v>
      </c>
      <c r="K155" s="121" t="s">
        <v>290</v>
      </c>
      <c r="L155" s="121" t="s">
        <v>231</v>
      </c>
      <c r="M155" s="121" t="s">
        <v>252</v>
      </c>
      <c r="N155" s="121" t="s">
        <v>262</v>
      </c>
      <c r="O155" s="167" t="s">
        <v>263</v>
      </c>
      <c r="P155" s="251"/>
      <c r="Q155" s="251"/>
      <c r="R155" s="251"/>
      <c r="S155" s="251"/>
      <c r="T155" s="251"/>
      <c r="U155" s="251"/>
      <c r="V155" s="251"/>
      <c r="W155" s="251"/>
      <c r="X155" s="251"/>
      <c r="Y155" s="251"/>
      <c r="Z155" s="251"/>
      <c r="AA155" s="251"/>
      <c r="AB155" s="251"/>
      <c r="AC155" s="251"/>
      <c r="AD155" s="252"/>
      <c r="AE155" s="251"/>
      <c r="AF155" s="251"/>
      <c r="AG155" s="251"/>
      <c r="AH155" s="251"/>
    </row>
    <row r="156" spans="1:34" ht="12.75">
      <c r="A156" s="251"/>
      <c r="B156" s="258"/>
      <c r="C156" s="164" t="s">
        <v>466</v>
      </c>
      <c r="D156" s="121">
        <v>0.211</v>
      </c>
      <c r="E156" s="121">
        <v>0.1073</v>
      </c>
      <c r="F156" s="121">
        <v>0.211</v>
      </c>
      <c r="G156" s="121">
        <v>0.1073</v>
      </c>
      <c r="H156" s="121" t="s">
        <v>302</v>
      </c>
      <c r="I156" s="121" t="s">
        <v>265</v>
      </c>
      <c r="J156" s="121" t="s">
        <v>260</v>
      </c>
      <c r="K156" s="121" t="s">
        <v>413</v>
      </c>
      <c r="L156" s="121" t="s">
        <v>267</v>
      </c>
      <c r="M156" s="121" t="s">
        <v>261</v>
      </c>
      <c r="N156" s="121" t="s">
        <v>274</v>
      </c>
      <c r="O156" s="167" t="s">
        <v>275</v>
      </c>
      <c r="P156" s="251"/>
      <c r="Q156" s="251"/>
      <c r="R156" s="251"/>
      <c r="S156" s="251"/>
      <c r="T156" s="251"/>
      <c r="U156" s="251"/>
      <c r="V156" s="251"/>
      <c r="W156" s="251"/>
      <c r="X156" s="251"/>
      <c r="Y156" s="251"/>
      <c r="Z156" s="251"/>
      <c r="AA156" s="251"/>
      <c r="AB156" s="251"/>
      <c r="AC156" s="251"/>
      <c r="AD156" s="252"/>
      <c r="AE156" s="251"/>
      <c r="AF156" s="251"/>
      <c r="AG156" s="251"/>
      <c r="AH156" s="251"/>
    </row>
    <row r="157" spans="1:34" ht="12.75">
      <c r="A157" s="251"/>
      <c r="B157" s="258"/>
      <c r="C157" s="164" t="s">
        <v>468</v>
      </c>
      <c r="D157" s="121">
        <v>0.161</v>
      </c>
      <c r="E157" s="121">
        <v>0.1041</v>
      </c>
      <c r="F157" s="121">
        <v>0.161</v>
      </c>
      <c r="G157" s="121">
        <v>0.1041</v>
      </c>
      <c r="H157" s="121" t="s">
        <v>411</v>
      </c>
      <c r="I157" s="121" t="s">
        <v>302</v>
      </c>
      <c r="J157" s="121" t="s">
        <v>524</v>
      </c>
      <c r="K157" s="121" t="s">
        <v>303</v>
      </c>
      <c r="L157" s="121" t="s">
        <v>413</v>
      </c>
      <c r="M157" s="121" t="s">
        <v>316</v>
      </c>
      <c r="N157" s="121" t="s">
        <v>286</v>
      </c>
      <c r="O157" s="167" t="s">
        <v>287</v>
      </c>
      <c r="P157" s="251"/>
      <c r="Q157" s="251"/>
      <c r="R157" s="251"/>
      <c r="S157" s="251"/>
      <c r="T157" s="251"/>
      <c r="U157" s="251"/>
      <c r="V157" s="251"/>
      <c r="W157" s="251"/>
      <c r="X157" s="251"/>
      <c r="Y157" s="251"/>
      <c r="Z157" s="251"/>
      <c r="AA157" s="251"/>
      <c r="AB157" s="251"/>
      <c r="AC157" s="251"/>
      <c r="AD157" s="252"/>
      <c r="AE157" s="251"/>
      <c r="AF157" s="251"/>
      <c r="AG157" s="251"/>
      <c r="AH157" s="251"/>
    </row>
    <row r="158" spans="1:34" ht="12.75">
      <c r="A158" s="251"/>
      <c r="B158" s="258"/>
      <c r="C158" s="164" t="s">
        <v>469</v>
      </c>
      <c r="D158" s="121">
        <v>0.13</v>
      </c>
      <c r="E158" s="121">
        <v>0.1002</v>
      </c>
      <c r="F158" s="121">
        <v>0.13</v>
      </c>
      <c r="G158" s="121">
        <v>0.1002</v>
      </c>
      <c r="H158" s="121" t="s">
        <v>313</v>
      </c>
      <c r="I158" s="121" t="s">
        <v>290</v>
      </c>
      <c r="J158" s="121" t="s">
        <v>283</v>
      </c>
      <c r="K158" s="121" t="s">
        <v>540</v>
      </c>
      <c r="L158" s="121" t="s">
        <v>294</v>
      </c>
      <c r="M158" s="121" t="s">
        <v>352</v>
      </c>
      <c r="N158" s="121" t="s">
        <v>298</v>
      </c>
      <c r="O158" s="167" t="s">
        <v>299</v>
      </c>
      <c r="P158" s="251"/>
      <c r="Q158" s="251"/>
      <c r="R158" s="251"/>
      <c r="S158" s="251"/>
      <c r="T158" s="251"/>
      <c r="U158" s="251"/>
      <c r="V158" s="251"/>
      <c r="W158" s="251"/>
      <c r="X158" s="251"/>
      <c r="Y158" s="251"/>
      <c r="Z158" s="251"/>
      <c r="AA158" s="251"/>
      <c r="AB158" s="251"/>
      <c r="AC158" s="251"/>
      <c r="AD158" s="252"/>
      <c r="AE158" s="251"/>
      <c r="AF158" s="251"/>
      <c r="AG158" s="251"/>
      <c r="AH158" s="251"/>
    </row>
    <row r="159" spans="1:34" ht="13.5" thickBot="1">
      <c r="A159" s="251"/>
      <c r="B159" s="258"/>
      <c r="C159" s="165" t="s">
        <v>470</v>
      </c>
      <c r="D159" s="168">
        <v>0.102</v>
      </c>
      <c r="E159" s="168">
        <v>0.0968</v>
      </c>
      <c r="F159" s="168">
        <v>0.102</v>
      </c>
      <c r="G159" s="168">
        <v>0.0968</v>
      </c>
      <c r="H159" s="168" t="s">
        <v>303</v>
      </c>
      <c r="I159" s="168" t="s">
        <v>413</v>
      </c>
      <c r="J159" s="168" t="s">
        <v>432</v>
      </c>
      <c r="K159" s="168" t="s">
        <v>316</v>
      </c>
      <c r="L159" s="168" t="s">
        <v>433</v>
      </c>
      <c r="M159" s="168" t="s">
        <v>541</v>
      </c>
      <c r="N159" s="168" t="s">
        <v>310</v>
      </c>
      <c r="O159" s="169" t="s">
        <v>311</v>
      </c>
      <c r="P159" s="251"/>
      <c r="Q159" s="251"/>
      <c r="R159" s="251"/>
      <c r="S159" s="251"/>
      <c r="T159" s="251"/>
      <c r="U159" s="251"/>
      <c r="V159" s="251"/>
      <c r="W159" s="251"/>
      <c r="X159" s="251"/>
      <c r="Y159" s="251"/>
      <c r="Z159" s="251"/>
      <c r="AA159" s="251"/>
      <c r="AB159" s="251"/>
      <c r="AC159" s="251"/>
      <c r="AD159" s="252"/>
      <c r="AE159" s="251"/>
      <c r="AF159" s="251"/>
      <c r="AG159" s="251"/>
      <c r="AH159" s="251"/>
    </row>
    <row r="160" spans="1:34" ht="13.5" thickBot="1">
      <c r="A160" s="251"/>
      <c r="B160" s="258"/>
      <c r="C160" s="251"/>
      <c r="D160" s="251"/>
      <c r="E160" s="251"/>
      <c r="F160" s="251"/>
      <c r="G160" s="251"/>
      <c r="H160" s="251"/>
      <c r="I160" s="251"/>
      <c r="J160" s="251"/>
      <c r="K160" s="251"/>
      <c r="L160" s="251"/>
      <c r="M160" s="251"/>
      <c r="N160" s="251"/>
      <c r="O160" s="251"/>
      <c r="P160" s="251"/>
      <c r="Q160" s="251"/>
      <c r="R160" s="251"/>
      <c r="S160" s="251"/>
      <c r="T160" s="251"/>
      <c r="U160" s="251"/>
      <c r="V160" s="251"/>
      <c r="W160" s="251"/>
      <c r="X160" s="251"/>
      <c r="Y160" s="251"/>
      <c r="Z160" s="251"/>
      <c r="AA160" s="251"/>
      <c r="AB160" s="251"/>
      <c r="AC160" s="251"/>
      <c r="AD160" s="252"/>
      <c r="AE160" s="251"/>
      <c r="AF160" s="251"/>
      <c r="AG160" s="251"/>
      <c r="AH160" s="251"/>
    </row>
    <row r="161" spans="1:34" ht="12.75" customHeight="1">
      <c r="A161" s="251"/>
      <c r="B161" s="258"/>
      <c r="C161" s="337" t="s">
        <v>115</v>
      </c>
      <c r="D161" s="338"/>
      <c r="E161" s="338"/>
      <c r="F161" s="338"/>
      <c r="G161" s="338"/>
      <c r="H161" s="338"/>
      <c r="I161" s="338"/>
      <c r="J161" s="338"/>
      <c r="K161" s="338"/>
      <c r="L161" s="338"/>
      <c r="M161" s="338"/>
      <c r="N161" s="338"/>
      <c r="O161" s="339"/>
      <c r="P161" s="251"/>
      <c r="Q161" s="251"/>
      <c r="R161" s="251"/>
      <c r="S161" s="251"/>
      <c r="T161" s="251"/>
      <c r="U161" s="251"/>
      <c r="V161" s="251"/>
      <c r="W161" s="251"/>
      <c r="X161" s="251"/>
      <c r="Y161" s="251"/>
      <c r="Z161" s="251"/>
      <c r="AA161" s="251"/>
      <c r="AB161" s="251"/>
      <c r="AC161" s="251"/>
      <c r="AD161" s="252"/>
      <c r="AE161" s="251"/>
      <c r="AF161" s="251"/>
      <c r="AG161" s="251"/>
      <c r="AH161" s="251"/>
    </row>
    <row r="162" spans="1:34" ht="45" customHeight="1">
      <c r="A162" s="251"/>
      <c r="B162" s="258"/>
      <c r="C162" s="345" t="s">
        <v>71</v>
      </c>
      <c r="D162" s="344" t="s">
        <v>101</v>
      </c>
      <c r="E162" s="344"/>
      <c r="F162" s="344" t="s">
        <v>102</v>
      </c>
      <c r="G162" s="344"/>
      <c r="H162" s="344" t="s">
        <v>111</v>
      </c>
      <c r="I162" s="344"/>
      <c r="J162" s="344"/>
      <c r="K162" s="344" t="s">
        <v>102</v>
      </c>
      <c r="L162" s="344"/>
      <c r="M162" s="344"/>
      <c r="N162" s="344" t="s">
        <v>103</v>
      </c>
      <c r="O162" s="343"/>
      <c r="P162" s="251"/>
      <c r="Q162" s="251"/>
      <c r="R162" s="251"/>
      <c r="S162" s="251"/>
      <c r="T162" s="251"/>
      <c r="U162" s="251"/>
      <c r="V162" s="251"/>
      <c r="W162" s="251"/>
      <c r="X162" s="251"/>
      <c r="Y162" s="251"/>
      <c r="Z162" s="251"/>
      <c r="AA162" s="251"/>
      <c r="AB162" s="251"/>
      <c r="AC162" s="251"/>
      <c r="AD162" s="252"/>
      <c r="AE162" s="251"/>
      <c r="AF162" s="251"/>
      <c r="AG162" s="251"/>
      <c r="AH162" s="251"/>
    </row>
    <row r="163" spans="1:34" ht="12.75">
      <c r="A163" s="251"/>
      <c r="B163" s="258"/>
      <c r="C163" s="346"/>
      <c r="D163" s="153" t="s">
        <v>104</v>
      </c>
      <c r="E163" s="153" t="s">
        <v>105</v>
      </c>
      <c r="F163" s="153" t="s">
        <v>104</v>
      </c>
      <c r="G163" s="153" t="s">
        <v>105</v>
      </c>
      <c r="H163" s="157" t="s">
        <v>51</v>
      </c>
      <c r="I163" s="157" t="s">
        <v>106</v>
      </c>
      <c r="J163" s="157" t="s">
        <v>50</v>
      </c>
      <c r="K163" s="157" t="s">
        <v>51</v>
      </c>
      <c r="L163" s="157" t="s">
        <v>106</v>
      </c>
      <c r="M163" s="157" t="s">
        <v>50</v>
      </c>
      <c r="N163" s="344" t="s">
        <v>101</v>
      </c>
      <c r="O163" s="343" t="s">
        <v>102</v>
      </c>
      <c r="P163" s="251"/>
      <c r="Q163" s="251"/>
      <c r="R163" s="251"/>
      <c r="S163" s="251"/>
      <c r="T163" s="251"/>
      <c r="U163" s="251"/>
      <c r="V163" s="251"/>
      <c r="W163" s="251"/>
      <c r="X163" s="251"/>
      <c r="Y163" s="251"/>
      <c r="Z163" s="251"/>
      <c r="AA163" s="251"/>
      <c r="AB163" s="251"/>
      <c r="AC163" s="251"/>
      <c r="AD163" s="252"/>
      <c r="AE163" s="251"/>
      <c r="AF163" s="251"/>
      <c r="AG163" s="251"/>
      <c r="AH163" s="251"/>
    </row>
    <row r="164" spans="1:34" ht="12.75">
      <c r="A164" s="251"/>
      <c r="B164" s="258"/>
      <c r="C164" s="347"/>
      <c r="D164" s="157" t="s">
        <v>107</v>
      </c>
      <c r="E164" s="157" t="s">
        <v>107</v>
      </c>
      <c r="F164" s="157" t="s">
        <v>107</v>
      </c>
      <c r="G164" s="157" t="s">
        <v>107</v>
      </c>
      <c r="H164" s="157" t="s">
        <v>0</v>
      </c>
      <c r="I164" s="157" t="s">
        <v>0</v>
      </c>
      <c r="J164" s="157" t="s">
        <v>0</v>
      </c>
      <c r="K164" s="157" t="s">
        <v>0</v>
      </c>
      <c r="L164" s="157" t="s">
        <v>0</v>
      </c>
      <c r="M164" s="157" t="s">
        <v>0</v>
      </c>
      <c r="N164" s="344"/>
      <c r="O164" s="343"/>
      <c r="P164" s="251"/>
      <c r="Q164" s="251"/>
      <c r="R164" s="251"/>
      <c r="S164" s="251"/>
      <c r="T164" s="251"/>
      <c r="U164" s="251"/>
      <c r="V164" s="251"/>
      <c r="W164" s="251"/>
      <c r="X164" s="251"/>
      <c r="Y164" s="251"/>
      <c r="Z164" s="251"/>
      <c r="AA164" s="251"/>
      <c r="AB164" s="251"/>
      <c r="AC164" s="251"/>
      <c r="AD164" s="252"/>
      <c r="AE164" s="251"/>
      <c r="AF164" s="251"/>
      <c r="AG164" s="251"/>
      <c r="AH164" s="251"/>
    </row>
    <row r="165" spans="1:34" ht="12.75">
      <c r="A165" s="251"/>
      <c r="B165" s="258"/>
      <c r="C165" s="162" t="s">
        <v>83</v>
      </c>
      <c r="D165" s="121">
        <v>1.1</v>
      </c>
      <c r="E165" s="121">
        <v>0.134</v>
      </c>
      <c r="F165" s="121">
        <v>1.1</v>
      </c>
      <c r="G165" s="121">
        <v>0.134</v>
      </c>
      <c r="H165" s="121" t="s">
        <v>200</v>
      </c>
      <c r="I165" s="121" t="s">
        <v>194</v>
      </c>
      <c r="J165" s="121" t="s">
        <v>212</v>
      </c>
      <c r="K165" s="121" t="s">
        <v>196</v>
      </c>
      <c r="L165" s="121" t="s">
        <v>195</v>
      </c>
      <c r="M165" s="121" t="s">
        <v>207</v>
      </c>
      <c r="N165" s="121" t="s">
        <v>385</v>
      </c>
      <c r="O165" s="167" t="s">
        <v>386</v>
      </c>
      <c r="P165" s="251"/>
      <c r="Q165" s="251"/>
      <c r="R165" s="251"/>
      <c r="S165" s="251"/>
      <c r="T165" s="251"/>
      <c r="U165" s="251"/>
      <c r="V165" s="251"/>
      <c r="W165" s="251"/>
      <c r="X165" s="251"/>
      <c r="Y165" s="251"/>
      <c r="Z165" s="251"/>
      <c r="AA165" s="251"/>
      <c r="AB165" s="251"/>
      <c r="AC165" s="251"/>
      <c r="AD165" s="252"/>
      <c r="AE165" s="251"/>
      <c r="AF165" s="251"/>
      <c r="AG165" s="251"/>
      <c r="AH165" s="251"/>
    </row>
    <row r="166" spans="1:34" ht="12.75">
      <c r="A166" s="251"/>
      <c r="B166" s="258"/>
      <c r="C166" s="162" t="s">
        <v>84</v>
      </c>
      <c r="D166" s="121">
        <v>1.1</v>
      </c>
      <c r="E166" s="121">
        <v>0.134</v>
      </c>
      <c r="F166" s="121">
        <v>1.1</v>
      </c>
      <c r="G166" s="121">
        <v>0.134</v>
      </c>
      <c r="H166" s="121" t="s">
        <v>212</v>
      </c>
      <c r="I166" s="121" t="s">
        <v>201</v>
      </c>
      <c r="J166" s="121" t="s">
        <v>197</v>
      </c>
      <c r="K166" s="121" t="s">
        <v>207</v>
      </c>
      <c r="L166" s="121" t="s">
        <v>208</v>
      </c>
      <c r="M166" s="121" t="s">
        <v>219</v>
      </c>
      <c r="N166" s="121" t="s">
        <v>391</v>
      </c>
      <c r="O166" s="167" t="s">
        <v>523</v>
      </c>
      <c r="P166" s="251"/>
      <c r="Q166" s="251"/>
      <c r="R166" s="251"/>
      <c r="S166" s="251"/>
      <c r="T166" s="251"/>
      <c r="U166" s="251"/>
      <c r="V166" s="251"/>
      <c r="W166" s="251"/>
      <c r="X166" s="251"/>
      <c r="Y166" s="251"/>
      <c r="Z166" s="251"/>
      <c r="AA166" s="251"/>
      <c r="AB166" s="251"/>
      <c r="AC166" s="251"/>
      <c r="AD166" s="252"/>
      <c r="AE166" s="251"/>
      <c r="AF166" s="251"/>
      <c r="AG166" s="251"/>
      <c r="AH166" s="251"/>
    </row>
    <row r="167" spans="1:34" ht="12.75">
      <c r="A167" s="251"/>
      <c r="B167" s="258"/>
      <c r="C167" s="162" t="s">
        <v>85</v>
      </c>
      <c r="D167" s="121">
        <v>0.822</v>
      </c>
      <c r="E167" s="121">
        <v>0.1358</v>
      </c>
      <c r="F167" s="121">
        <v>0.822</v>
      </c>
      <c r="G167" s="121">
        <v>0.1358</v>
      </c>
      <c r="H167" s="121" t="s">
        <v>208</v>
      </c>
      <c r="I167" s="121" t="s">
        <v>202</v>
      </c>
      <c r="J167" s="121" t="s">
        <v>218</v>
      </c>
      <c r="K167" s="121" t="s">
        <v>219</v>
      </c>
      <c r="L167" s="121" t="s">
        <v>398</v>
      </c>
      <c r="M167" s="121" t="s">
        <v>234</v>
      </c>
      <c r="N167" s="121" t="s">
        <v>395</v>
      </c>
      <c r="O167" s="167" t="s">
        <v>396</v>
      </c>
      <c r="P167" s="251"/>
      <c r="Q167" s="251"/>
      <c r="R167" s="251"/>
      <c r="S167" s="251"/>
      <c r="T167" s="251"/>
      <c r="U167" s="251"/>
      <c r="V167" s="251"/>
      <c r="W167" s="251"/>
      <c r="X167" s="251"/>
      <c r="Y167" s="251"/>
      <c r="Z167" s="251"/>
      <c r="AA167" s="251"/>
      <c r="AB167" s="251"/>
      <c r="AC167" s="251"/>
      <c r="AD167" s="252"/>
      <c r="AE167" s="251"/>
      <c r="AF167" s="251"/>
      <c r="AG167" s="251"/>
      <c r="AH167" s="251"/>
    </row>
    <row r="168" spans="1:34" ht="12.75">
      <c r="A168" s="251"/>
      <c r="B168" s="258"/>
      <c r="C168" s="162" t="s">
        <v>86</v>
      </c>
      <c r="D168" s="121">
        <v>0.568</v>
      </c>
      <c r="E168" s="121">
        <v>0.1237</v>
      </c>
      <c r="F168" s="121">
        <v>0.568</v>
      </c>
      <c r="G168" s="121">
        <v>0.1237</v>
      </c>
      <c r="H168" s="121" t="s">
        <v>209</v>
      </c>
      <c r="I168" s="121" t="s">
        <v>207</v>
      </c>
      <c r="J168" s="121" t="s">
        <v>220</v>
      </c>
      <c r="K168" s="121" t="s">
        <v>229</v>
      </c>
      <c r="L168" s="121" t="s">
        <v>245</v>
      </c>
      <c r="M168" s="121" t="s">
        <v>302</v>
      </c>
      <c r="N168" s="121" t="s">
        <v>402</v>
      </c>
      <c r="O168" s="167" t="s">
        <v>233</v>
      </c>
      <c r="P168" s="251"/>
      <c r="Q168" s="251"/>
      <c r="R168" s="251"/>
      <c r="S168" s="251"/>
      <c r="T168" s="251"/>
      <c r="U168" s="251"/>
      <c r="V168" s="251"/>
      <c r="W168" s="251"/>
      <c r="X168" s="251"/>
      <c r="Y168" s="251"/>
      <c r="Z168" s="251"/>
      <c r="AA168" s="251"/>
      <c r="AB168" s="251"/>
      <c r="AC168" s="251"/>
      <c r="AD168" s="252"/>
      <c r="AE168" s="251"/>
      <c r="AF168" s="251"/>
      <c r="AG168" s="251"/>
      <c r="AH168" s="251"/>
    </row>
    <row r="169" spans="1:34" ht="12.75">
      <c r="A169" s="251"/>
      <c r="B169" s="258"/>
      <c r="C169" s="162" t="s">
        <v>87</v>
      </c>
      <c r="D169" s="121">
        <v>0.411</v>
      </c>
      <c r="E169" s="121">
        <v>0.1168</v>
      </c>
      <c r="F169" s="121">
        <v>0.411</v>
      </c>
      <c r="G169" s="121">
        <v>0.1168</v>
      </c>
      <c r="H169" s="121" t="s">
        <v>224</v>
      </c>
      <c r="I169" s="121" t="s">
        <v>399</v>
      </c>
      <c r="J169" s="121" t="s">
        <v>268</v>
      </c>
      <c r="K169" s="121" t="s">
        <v>240</v>
      </c>
      <c r="L169" s="121" t="s">
        <v>241</v>
      </c>
      <c r="M169" s="121" t="s">
        <v>282</v>
      </c>
      <c r="N169" s="121" t="s">
        <v>405</v>
      </c>
      <c r="O169" s="167" t="s">
        <v>244</v>
      </c>
      <c r="P169" s="251"/>
      <c r="Q169" s="251"/>
      <c r="R169" s="251"/>
      <c r="S169" s="251"/>
      <c r="T169" s="251"/>
      <c r="U169" s="251"/>
      <c r="V169" s="251"/>
      <c r="W169" s="251"/>
      <c r="X169" s="251"/>
      <c r="Y169" s="251"/>
      <c r="Z169" s="251"/>
      <c r="AA169" s="251"/>
      <c r="AB169" s="251"/>
      <c r="AC169" s="251"/>
      <c r="AD169" s="252"/>
      <c r="AE169" s="251"/>
      <c r="AF169" s="251"/>
      <c r="AG169" s="251"/>
      <c r="AH169" s="251"/>
    </row>
    <row r="170" spans="1:34" ht="12.75">
      <c r="A170" s="251"/>
      <c r="B170" s="258"/>
      <c r="C170" s="162" t="s">
        <v>88</v>
      </c>
      <c r="D170" s="121">
        <v>0.325</v>
      </c>
      <c r="E170" s="121">
        <v>0.1128</v>
      </c>
      <c r="F170" s="121">
        <v>0.325</v>
      </c>
      <c r="G170" s="121">
        <v>0.1128</v>
      </c>
      <c r="H170" s="121" t="s">
        <v>241</v>
      </c>
      <c r="I170" s="121" t="s">
        <v>224</v>
      </c>
      <c r="J170" s="121" t="s">
        <v>267</v>
      </c>
      <c r="K170" s="121" t="s">
        <v>251</v>
      </c>
      <c r="L170" s="121" t="s">
        <v>240</v>
      </c>
      <c r="M170" s="121" t="s">
        <v>294</v>
      </c>
      <c r="N170" s="121" t="s">
        <v>253</v>
      </c>
      <c r="O170" s="167" t="s">
        <v>254</v>
      </c>
      <c r="P170" s="251"/>
      <c r="Q170" s="251"/>
      <c r="R170" s="251"/>
      <c r="S170" s="251"/>
      <c r="T170" s="251"/>
      <c r="U170" s="251"/>
      <c r="V170" s="251"/>
      <c r="W170" s="251"/>
      <c r="X170" s="251"/>
      <c r="Y170" s="251"/>
      <c r="Z170" s="251"/>
      <c r="AA170" s="251"/>
      <c r="AB170" s="251"/>
      <c r="AC170" s="251"/>
      <c r="AD170" s="252"/>
      <c r="AE170" s="251"/>
      <c r="AF170" s="251"/>
      <c r="AG170" s="251"/>
      <c r="AH170" s="251"/>
    </row>
    <row r="171" spans="1:34" ht="12.75">
      <c r="A171" s="251"/>
      <c r="B171" s="258"/>
      <c r="C171" s="164" t="s">
        <v>255</v>
      </c>
      <c r="D171" s="121">
        <v>0.265</v>
      </c>
      <c r="E171" s="121">
        <v>0.1096</v>
      </c>
      <c r="F171" s="121">
        <v>0.265</v>
      </c>
      <c r="G171" s="121">
        <v>0.1096</v>
      </c>
      <c r="H171" s="121" t="s">
        <v>268</v>
      </c>
      <c r="I171" s="121" t="s">
        <v>250</v>
      </c>
      <c r="J171" s="121" t="s">
        <v>277</v>
      </c>
      <c r="K171" s="121" t="s">
        <v>260</v>
      </c>
      <c r="L171" s="121" t="s">
        <v>271</v>
      </c>
      <c r="M171" s="121" t="s">
        <v>433</v>
      </c>
      <c r="N171" s="121" t="s">
        <v>262</v>
      </c>
      <c r="O171" s="167" t="s">
        <v>263</v>
      </c>
      <c r="P171" s="251"/>
      <c r="Q171" s="251"/>
      <c r="R171" s="251"/>
      <c r="S171" s="251"/>
      <c r="T171" s="251"/>
      <c r="U171" s="251"/>
      <c r="V171" s="251"/>
      <c r="W171" s="251"/>
      <c r="X171" s="251"/>
      <c r="Y171" s="251"/>
      <c r="Z171" s="251"/>
      <c r="AA171" s="251"/>
      <c r="AB171" s="251"/>
      <c r="AC171" s="251"/>
      <c r="AD171" s="252"/>
      <c r="AE171" s="251"/>
      <c r="AF171" s="251"/>
      <c r="AG171" s="251"/>
      <c r="AH171" s="251"/>
    </row>
    <row r="172" spans="1:34" ht="12.75">
      <c r="A172" s="251"/>
      <c r="B172" s="258"/>
      <c r="C172" s="164" t="s">
        <v>264</v>
      </c>
      <c r="D172" s="121">
        <v>0.211</v>
      </c>
      <c r="E172" s="121">
        <v>0.1073</v>
      </c>
      <c r="F172" s="121">
        <v>0.211</v>
      </c>
      <c r="G172" s="121">
        <v>0.1073</v>
      </c>
      <c r="H172" s="121" t="s">
        <v>271</v>
      </c>
      <c r="I172" s="121" t="s">
        <v>268</v>
      </c>
      <c r="J172" s="121" t="s">
        <v>524</v>
      </c>
      <c r="K172" s="121" t="s">
        <v>252</v>
      </c>
      <c r="L172" s="121" t="s">
        <v>242</v>
      </c>
      <c r="M172" s="121" t="s">
        <v>421</v>
      </c>
      <c r="N172" s="121" t="s">
        <v>274</v>
      </c>
      <c r="O172" s="167" t="s">
        <v>275</v>
      </c>
      <c r="P172" s="251"/>
      <c r="Q172" s="251"/>
      <c r="R172" s="251"/>
      <c r="S172" s="251"/>
      <c r="T172" s="251"/>
      <c r="U172" s="251"/>
      <c r="V172" s="251"/>
      <c r="W172" s="251"/>
      <c r="X172" s="251"/>
      <c r="Y172" s="251"/>
      <c r="Z172" s="251"/>
      <c r="AA172" s="251"/>
      <c r="AB172" s="251"/>
      <c r="AC172" s="251"/>
      <c r="AD172" s="252"/>
      <c r="AE172" s="251"/>
      <c r="AF172" s="251"/>
      <c r="AG172" s="251"/>
      <c r="AH172" s="251"/>
    </row>
    <row r="173" spans="1:34" ht="12.75">
      <c r="A173" s="251"/>
      <c r="B173" s="258"/>
      <c r="C173" s="164" t="s">
        <v>276</v>
      </c>
      <c r="D173" s="121">
        <v>0.161</v>
      </c>
      <c r="E173" s="121">
        <v>0.1041</v>
      </c>
      <c r="F173" s="121">
        <v>0.161</v>
      </c>
      <c r="G173" s="121">
        <v>0.1041</v>
      </c>
      <c r="H173" s="121" t="s">
        <v>282</v>
      </c>
      <c r="I173" s="121" t="s">
        <v>251</v>
      </c>
      <c r="J173" s="121" t="s">
        <v>324</v>
      </c>
      <c r="K173" s="121" t="s">
        <v>284</v>
      </c>
      <c r="L173" s="121" t="s">
        <v>252</v>
      </c>
      <c r="M173" s="121" t="s">
        <v>525</v>
      </c>
      <c r="N173" s="121" t="s">
        <v>286</v>
      </c>
      <c r="O173" s="167" t="s">
        <v>287</v>
      </c>
      <c r="P173" s="251"/>
      <c r="Q173" s="251"/>
      <c r="R173" s="251"/>
      <c r="S173" s="251"/>
      <c r="T173" s="251"/>
      <c r="U173" s="251"/>
      <c r="V173" s="251"/>
      <c r="W173" s="251"/>
      <c r="X173" s="251"/>
      <c r="Y173" s="251"/>
      <c r="Z173" s="251"/>
      <c r="AA173" s="251"/>
      <c r="AB173" s="251"/>
      <c r="AC173" s="251"/>
      <c r="AD173" s="252"/>
      <c r="AE173" s="251"/>
      <c r="AF173" s="251"/>
      <c r="AG173" s="251"/>
      <c r="AH173" s="251"/>
    </row>
    <row r="174" spans="1:34" ht="12.75">
      <c r="A174" s="251"/>
      <c r="B174" s="258"/>
      <c r="C174" s="164" t="s">
        <v>288</v>
      </c>
      <c r="D174" s="121">
        <v>0.13</v>
      </c>
      <c r="E174" s="121">
        <v>0.1002</v>
      </c>
      <c r="F174" s="121">
        <v>0.13</v>
      </c>
      <c r="G174" s="121">
        <v>0.1002</v>
      </c>
      <c r="H174" s="121" t="s">
        <v>272</v>
      </c>
      <c r="I174" s="121" t="s">
        <v>260</v>
      </c>
      <c r="J174" s="121" t="s">
        <v>435</v>
      </c>
      <c r="K174" s="121" t="s">
        <v>296</v>
      </c>
      <c r="L174" s="121" t="s">
        <v>279</v>
      </c>
      <c r="M174" s="121" t="s">
        <v>331</v>
      </c>
      <c r="N174" s="121" t="s">
        <v>298</v>
      </c>
      <c r="O174" s="167" t="s">
        <v>299</v>
      </c>
      <c r="P174" s="251"/>
      <c r="Q174" s="251"/>
      <c r="R174" s="251"/>
      <c r="S174" s="251"/>
      <c r="T174" s="251"/>
      <c r="U174" s="251"/>
      <c r="V174" s="251"/>
      <c r="W174" s="251"/>
      <c r="X174" s="251"/>
      <c r="Y174" s="251"/>
      <c r="Z174" s="251"/>
      <c r="AA174" s="251"/>
      <c r="AB174" s="251"/>
      <c r="AC174" s="251"/>
      <c r="AD174" s="252"/>
      <c r="AE174" s="251"/>
      <c r="AF174" s="251"/>
      <c r="AG174" s="251"/>
      <c r="AH174" s="251"/>
    </row>
    <row r="175" spans="1:34" ht="12.75">
      <c r="A175" s="251"/>
      <c r="B175" s="258"/>
      <c r="C175" s="164" t="s">
        <v>300</v>
      </c>
      <c r="D175" s="121">
        <v>0.102</v>
      </c>
      <c r="E175" s="121">
        <v>0.0968</v>
      </c>
      <c r="F175" s="121">
        <v>0.102</v>
      </c>
      <c r="G175" s="121">
        <v>0.0968</v>
      </c>
      <c r="H175" s="121" t="s">
        <v>433</v>
      </c>
      <c r="I175" s="121" t="s">
        <v>252</v>
      </c>
      <c r="J175" s="121" t="s">
        <v>342</v>
      </c>
      <c r="K175" s="121" t="s">
        <v>304</v>
      </c>
      <c r="L175" s="121" t="s">
        <v>308</v>
      </c>
      <c r="M175" s="121" t="s">
        <v>527</v>
      </c>
      <c r="N175" s="121" t="s">
        <v>310</v>
      </c>
      <c r="O175" s="167" t="s">
        <v>311</v>
      </c>
      <c r="P175" s="251"/>
      <c r="Q175" s="251"/>
      <c r="R175" s="251"/>
      <c r="S175" s="251"/>
      <c r="T175" s="251"/>
      <c r="U175" s="251"/>
      <c r="V175" s="251"/>
      <c r="W175" s="251"/>
      <c r="X175" s="251"/>
      <c r="Y175" s="251"/>
      <c r="Z175" s="251"/>
      <c r="AA175" s="251"/>
      <c r="AB175" s="251"/>
      <c r="AC175" s="251"/>
      <c r="AD175" s="252"/>
      <c r="AE175" s="251"/>
      <c r="AF175" s="251"/>
      <c r="AG175" s="251"/>
      <c r="AH175" s="251"/>
    </row>
    <row r="176" spans="1:34" ht="12.75">
      <c r="A176" s="251"/>
      <c r="B176" s="258"/>
      <c r="C176" s="164" t="s">
        <v>312</v>
      </c>
      <c r="D176" s="121">
        <v>0.08</v>
      </c>
      <c r="E176" s="121">
        <v>0.0939</v>
      </c>
      <c r="F176" s="121">
        <v>0.08</v>
      </c>
      <c r="G176" s="121">
        <v>0.0939</v>
      </c>
      <c r="H176" s="121" t="s">
        <v>273</v>
      </c>
      <c r="I176" s="121" t="s">
        <v>261</v>
      </c>
      <c r="J176" s="121" t="s">
        <v>529</v>
      </c>
      <c r="K176" s="121" t="s">
        <v>318</v>
      </c>
      <c r="L176" s="121" t="s">
        <v>319</v>
      </c>
      <c r="M176" s="121" t="s">
        <v>530</v>
      </c>
      <c r="N176" s="121" t="s">
        <v>321</v>
      </c>
      <c r="O176" s="167" t="s">
        <v>322</v>
      </c>
      <c r="P176" s="251"/>
      <c r="Q176" s="251"/>
      <c r="R176" s="251"/>
      <c r="S176" s="251"/>
      <c r="T176" s="251"/>
      <c r="U176" s="251"/>
      <c r="V176" s="251"/>
      <c r="W176" s="251"/>
      <c r="X176" s="251"/>
      <c r="Y176" s="251"/>
      <c r="Z176" s="251"/>
      <c r="AA176" s="251"/>
      <c r="AB176" s="251"/>
      <c r="AC176" s="251"/>
      <c r="AD176" s="252"/>
      <c r="AE176" s="251"/>
      <c r="AF176" s="251"/>
      <c r="AG176" s="251"/>
      <c r="AH176" s="251"/>
    </row>
    <row r="177" spans="1:34" ht="12.75">
      <c r="A177" s="251"/>
      <c r="B177" s="258"/>
      <c r="C177" s="164" t="s">
        <v>323</v>
      </c>
      <c r="D177" s="121">
        <v>0.063</v>
      </c>
      <c r="E177" s="121">
        <v>0.0921</v>
      </c>
      <c r="F177" s="121">
        <v>0.063</v>
      </c>
      <c r="G177" s="121">
        <v>0.0921</v>
      </c>
      <c r="H177" s="121" t="s">
        <v>532</v>
      </c>
      <c r="I177" s="121" t="s">
        <v>308</v>
      </c>
      <c r="J177" s="121" t="s">
        <v>533</v>
      </c>
      <c r="K177" s="121" t="s">
        <v>331</v>
      </c>
      <c r="L177" s="121" t="s">
        <v>439</v>
      </c>
      <c r="M177" s="121" t="s">
        <v>534</v>
      </c>
      <c r="N177" s="121" t="s">
        <v>333</v>
      </c>
      <c r="O177" s="167" t="s">
        <v>542</v>
      </c>
      <c r="P177" s="251"/>
      <c r="Q177" s="251"/>
      <c r="R177" s="251"/>
      <c r="S177" s="251"/>
      <c r="T177" s="251"/>
      <c r="U177" s="251"/>
      <c r="V177" s="251"/>
      <c r="W177" s="251"/>
      <c r="X177" s="251"/>
      <c r="Y177" s="251"/>
      <c r="Z177" s="251"/>
      <c r="AA177" s="251"/>
      <c r="AB177" s="251"/>
      <c r="AC177" s="251"/>
      <c r="AD177" s="252"/>
      <c r="AE177" s="251"/>
      <c r="AF177" s="251"/>
      <c r="AG177" s="251"/>
      <c r="AH177" s="251"/>
    </row>
    <row r="178" spans="1:34" ht="12.75">
      <c r="A178" s="251"/>
      <c r="B178" s="258"/>
      <c r="C178" s="164" t="s">
        <v>335</v>
      </c>
      <c r="D178" s="121">
        <v>0.0513</v>
      </c>
      <c r="E178" s="121">
        <v>0.097</v>
      </c>
      <c r="F178" s="121">
        <v>0.0513</v>
      </c>
      <c r="G178" s="121">
        <v>0.097</v>
      </c>
      <c r="H178" s="121" t="s">
        <v>536</v>
      </c>
      <c r="I178" s="121" t="s">
        <v>319</v>
      </c>
      <c r="J178" s="121" t="s">
        <v>537</v>
      </c>
      <c r="K178" s="121" t="s">
        <v>341</v>
      </c>
      <c r="L178" s="121" t="s">
        <v>342</v>
      </c>
      <c r="M178" s="121" t="s">
        <v>343</v>
      </c>
      <c r="N178" s="121" t="s">
        <v>344</v>
      </c>
      <c r="O178" s="167" t="s">
        <v>345</v>
      </c>
      <c r="P178" s="251"/>
      <c r="Q178" s="251"/>
      <c r="R178" s="251"/>
      <c r="S178" s="251"/>
      <c r="T178" s="251"/>
      <c r="U178" s="251"/>
      <c r="V178" s="251"/>
      <c r="W178" s="251"/>
      <c r="X178" s="251"/>
      <c r="Y178" s="251"/>
      <c r="Z178" s="251"/>
      <c r="AA178" s="251"/>
      <c r="AB178" s="251"/>
      <c r="AC178" s="251"/>
      <c r="AD178" s="252"/>
      <c r="AE178" s="251"/>
      <c r="AF178" s="251"/>
      <c r="AG178" s="251"/>
      <c r="AH178" s="251"/>
    </row>
    <row r="179" spans="1:34" ht="12.75">
      <c r="A179" s="251"/>
      <c r="B179" s="258"/>
      <c r="C179" s="164" t="s">
        <v>346</v>
      </c>
      <c r="D179" s="121">
        <v>0.0426</v>
      </c>
      <c r="E179" s="121">
        <v>0.0875</v>
      </c>
      <c r="F179" s="121">
        <v>0.0426</v>
      </c>
      <c r="G179" s="121">
        <v>0.0875</v>
      </c>
      <c r="H179" s="121" t="s">
        <v>331</v>
      </c>
      <c r="I179" s="121" t="s">
        <v>439</v>
      </c>
      <c r="J179" s="121" t="s">
        <v>539</v>
      </c>
      <c r="K179" s="121" t="s">
        <v>527</v>
      </c>
      <c r="L179" s="121" t="s">
        <v>297</v>
      </c>
      <c r="M179" s="121" t="s">
        <v>354</v>
      </c>
      <c r="N179" s="121" t="s">
        <v>355</v>
      </c>
      <c r="O179" s="167" t="s">
        <v>356</v>
      </c>
      <c r="P179" s="251"/>
      <c r="Q179" s="251"/>
      <c r="R179" s="251"/>
      <c r="S179" s="251"/>
      <c r="T179" s="251"/>
      <c r="U179" s="251"/>
      <c r="V179" s="251"/>
      <c r="W179" s="251"/>
      <c r="X179" s="251"/>
      <c r="Y179" s="251"/>
      <c r="Z179" s="251"/>
      <c r="AA179" s="251"/>
      <c r="AB179" s="251"/>
      <c r="AC179" s="251"/>
      <c r="AD179" s="252"/>
      <c r="AE179" s="251"/>
      <c r="AF179" s="251"/>
      <c r="AG179" s="251"/>
      <c r="AH179" s="251"/>
    </row>
    <row r="180" spans="1:34" ht="12.75">
      <c r="A180" s="251"/>
      <c r="B180" s="258"/>
      <c r="C180" s="164" t="s">
        <v>456</v>
      </c>
      <c r="D180" s="121">
        <v>1.1</v>
      </c>
      <c r="E180" s="121">
        <v>0.134</v>
      </c>
      <c r="F180" s="121">
        <v>1.1</v>
      </c>
      <c r="G180" s="121">
        <v>0.134</v>
      </c>
      <c r="H180" s="121" t="s">
        <v>384</v>
      </c>
      <c r="I180" s="121" t="s">
        <v>179</v>
      </c>
      <c r="J180" s="121" t="s">
        <v>201</v>
      </c>
      <c r="K180" s="121" t="s">
        <v>212</v>
      </c>
      <c r="L180" s="121" t="s">
        <v>201</v>
      </c>
      <c r="M180" s="121" t="s">
        <v>206</v>
      </c>
      <c r="N180" s="121" t="s">
        <v>385</v>
      </c>
      <c r="O180" s="167" t="s">
        <v>386</v>
      </c>
      <c r="P180" s="251"/>
      <c r="Q180" s="251"/>
      <c r="R180" s="251"/>
      <c r="S180" s="251"/>
      <c r="T180" s="251"/>
      <c r="U180" s="251"/>
      <c r="V180" s="251"/>
      <c r="W180" s="251"/>
      <c r="X180" s="251"/>
      <c r="Y180" s="251"/>
      <c r="Z180" s="251"/>
      <c r="AA180" s="251"/>
      <c r="AB180" s="251"/>
      <c r="AC180" s="251"/>
      <c r="AD180" s="252"/>
      <c r="AE180" s="251"/>
      <c r="AF180" s="251"/>
      <c r="AG180" s="251"/>
      <c r="AH180" s="251"/>
    </row>
    <row r="181" spans="1:34" ht="12.75">
      <c r="A181" s="251"/>
      <c r="B181" s="258"/>
      <c r="C181" s="164" t="s">
        <v>458</v>
      </c>
      <c r="D181" s="121">
        <v>1.1</v>
      </c>
      <c r="E181" s="121">
        <v>0.134</v>
      </c>
      <c r="F181" s="121">
        <v>1.1</v>
      </c>
      <c r="G181" s="121">
        <v>0.134</v>
      </c>
      <c r="H181" s="121" t="s">
        <v>195</v>
      </c>
      <c r="I181" s="121" t="s">
        <v>382</v>
      </c>
      <c r="J181" s="121" t="s">
        <v>202</v>
      </c>
      <c r="K181" s="121" t="s">
        <v>197</v>
      </c>
      <c r="L181" s="121" t="s">
        <v>202</v>
      </c>
      <c r="M181" s="121" t="s">
        <v>214</v>
      </c>
      <c r="N181" s="121" t="s">
        <v>391</v>
      </c>
      <c r="O181" s="167" t="s">
        <v>392</v>
      </c>
      <c r="P181" s="251"/>
      <c r="Q181" s="251"/>
      <c r="R181" s="251"/>
      <c r="S181" s="251"/>
      <c r="T181" s="251"/>
      <c r="U181" s="251"/>
      <c r="V181" s="251"/>
      <c r="W181" s="251"/>
      <c r="X181" s="251"/>
      <c r="Y181" s="251"/>
      <c r="Z181" s="251"/>
      <c r="AA181" s="251"/>
      <c r="AB181" s="251"/>
      <c r="AC181" s="251"/>
      <c r="AD181" s="252"/>
      <c r="AE181" s="251"/>
      <c r="AF181" s="251"/>
      <c r="AG181" s="251"/>
      <c r="AH181" s="251"/>
    </row>
    <row r="182" spans="1:34" ht="12.75">
      <c r="A182" s="251"/>
      <c r="B182" s="258"/>
      <c r="C182" s="164" t="s">
        <v>459</v>
      </c>
      <c r="D182" s="121">
        <v>0.822</v>
      </c>
      <c r="E182" s="121">
        <v>0.1358</v>
      </c>
      <c r="F182" s="121">
        <v>0.822</v>
      </c>
      <c r="G182" s="121">
        <v>0.1358</v>
      </c>
      <c r="H182" s="121" t="s">
        <v>196</v>
      </c>
      <c r="I182" s="121" t="s">
        <v>195</v>
      </c>
      <c r="J182" s="121" t="s">
        <v>213</v>
      </c>
      <c r="K182" s="121" t="s">
        <v>218</v>
      </c>
      <c r="L182" s="121" t="s">
        <v>213</v>
      </c>
      <c r="M182" s="121" t="s">
        <v>245</v>
      </c>
      <c r="N182" s="121" t="s">
        <v>395</v>
      </c>
      <c r="O182" s="167" t="s">
        <v>396</v>
      </c>
      <c r="P182" s="251"/>
      <c r="Q182" s="251"/>
      <c r="R182" s="251"/>
      <c r="S182" s="251"/>
      <c r="T182" s="251"/>
      <c r="U182" s="251"/>
      <c r="V182" s="251"/>
      <c r="W182" s="251"/>
      <c r="X182" s="251"/>
      <c r="Y182" s="251"/>
      <c r="Z182" s="251"/>
      <c r="AA182" s="251"/>
      <c r="AB182" s="251"/>
      <c r="AC182" s="251"/>
      <c r="AD182" s="252"/>
      <c r="AE182" s="251"/>
      <c r="AF182" s="251"/>
      <c r="AG182" s="251"/>
      <c r="AH182" s="251"/>
    </row>
    <row r="183" spans="1:34" ht="12.75">
      <c r="A183" s="251"/>
      <c r="B183" s="258"/>
      <c r="C183" s="164" t="s">
        <v>460</v>
      </c>
      <c r="D183" s="121">
        <v>0.568</v>
      </c>
      <c r="E183" s="121">
        <v>0.1237</v>
      </c>
      <c r="F183" s="121">
        <v>0.568</v>
      </c>
      <c r="G183" s="121">
        <v>0.1237</v>
      </c>
      <c r="H183" s="121" t="s">
        <v>398</v>
      </c>
      <c r="I183" s="121" t="s">
        <v>208</v>
      </c>
      <c r="J183" s="121" t="s">
        <v>223</v>
      </c>
      <c r="K183" s="121" t="s">
        <v>228</v>
      </c>
      <c r="L183" s="121" t="s">
        <v>399</v>
      </c>
      <c r="M183" s="121" t="s">
        <v>265</v>
      </c>
      <c r="N183" s="121" t="s">
        <v>402</v>
      </c>
      <c r="O183" s="167" t="s">
        <v>233</v>
      </c>
      <c r="P183" s="251"/>
      <c r="Q183" s="251"/>
      <c r="R183" s="251"/>
      <c r="S183" s="251"/>
      <c r="T183" s="251"/>
      <c r="U183" s="251"/>
      <c r="V183" s="251"/>
      <c r="W183" s="251"/>
      <c r="X183" s="251"/>
      <c r="Y183" s="251"/>
      <c r="Z183" s="251"/>
      <c r="AA183" s="251"/>
      <c r="AB183" s="251"/>
      <c r="AC183" s="251"/>
      <c r="AD183" s="252"/>
      <c r="AE183" s="251"/>
      <c r="AF183" s="251"/>
      <c r="AG183" s="251"/>
      <c r="AH183" s="251"/>
    </row>
    <row r="184" spans="1:34" ht="12.75">
      <c r="A184" s="251"/>
      <c r="B184" s="258"/>
      <c r="C184" s="164" t="s">
        <v>461</v>
      </c>
      <c r="D184" s="121">
        <v>0.411</v>
      </c>
      <c r="E184" s="121">
        <v>0.1168</v>
      </c>
      <c r="F184" s="121">
        <v>0.411</v>
      </c>
      <c r="G184" s="121">
        <v>0.1168</v>
      </c>
      <c r="H184" s="121" t="s">
        <v>223</v>
      </c>
      <c r="I184" s="121" t="s">
        <v>214</v>
      </c>
      <c r="J184" s="121" t="s">
        <v>250</v>
      </c>
      <c r="K184" s="121" t="s">
        <v>246</v>
      </c>
      <c r="L184" s="121" t="s">
        <v>220</v>
      </c>
      <c r="M184" s="121" t="s">
        <v>271</v>
      </c>
      <c r="N184" s="121" t="s">
        <v>405</v>
      </c>
      <c r="O184" s="167" t="s">
        <v>244</v>
      </c>
      <c r="P184" s="251"/>
      <c r="Q184" s="251"/>
      <c r="R184" s="251"/>
      <c r="S184" s="251"/>
      <c r="T184" s="251"/>
      <c r="U184" s="251"/>
      <c r="V184" s="251"/>
      <c r="W184" s="251"/>
      <c r="X184" s="251"/>
      <c r="Y184" s="251"/>
      <c r="Z184" s="251"/>
      <c r="AA184" s="251"/>
      <c r="AB184" s="251"/>
      <c r="AC184" s="251"/>
      <c r="AD184" s="252"/>
      <c r="AE184" s="251"/>
      <c r="AF184" s="251"/>
      <c r="AG184" s="251"/>
      <c r="AH184" s="251"/>
    </row>
    <row r="185" spans="1:34" ht="12.75">
      <c r="A185" s="251"/>
      <c r="B185" s="258"/>
      <c r="C185" s="164" t="s">
        <v>463</v>
      </c>
      <c r="D185" s="121">
        <v>0.325</v>
      </c>
      <c r="E185" s="121">
        <v>0.1128</v>
      </c>
      <c r="F185" s="121">
        <v>0.325</v>
      </c>
      <c r="G185" s="121">
        <v>0.1128</v>
      </c>
      <c r="H185" s="121" t="s">
        <v>234</v>
      </c>
      <c r="I185" s="121" t="s">
        <v>223</v>
      </c>
      <c r="J185" s="121" t="s">
        <v>268</v>
      </c>
      <c r="K185" s="121" t="s">
        <v>247</v>
      </c>
      <c r="L185" s="121" t="s">
        <v>265</v>
      </c>
      <c r="M185" s="121" t="s">
        <v>260</v>
      </c>
      <c r="N185" s="121" t="s">
        <v>253</v>
      </c>
      <c r="O185" s="167" t="s">
        <v>254</v>
      </c>
      <c r="P185" s="251"/>
      <c r="Q185" s="251"/>
      <c r="R185" s="251"/>
      <c r="S185" s="251"/>
      <c r="T185" s="251"/>
      <c r="U185" s="251"/>
      <c r="V185" s="251"/>
      <c r="W185" s="251"/>
      <c r="X185" s="251"/>
      <c r="Y185" s="251"/>
      <c r="Z185" s="251"/>
      <c r="AA185" s="251"/>
      <c r="AB185" s="251"/>
      <c r="AC185" s="251"/>
      <c r="AD185" s="252"/>
      <c r="AE185" s="251"/>
      <c r="AF185" s="251"/>
      <c r="AG185" s="251"/>
      <c r="AH185" s="251"/>
    </row>
    <row r="186" spans="1:34" ht="12.75">
      <c r="A186" s="251"/>
      <c r="B186" s="258"/>
      <c r="C186" s="164" t="s">
        <v>465</v>
      </c>
      <c r="D186" s="121">
        <v>0.265</v>
      </c>
      <c r="E186" s="121">
        <v>0.1096</v>
      </c>
      <c r="F186" s="121">
        <v>0.265</v>
      </c>
      <c r="G186" s="121">
        <v>0.1096</v>
      </c>
      <c r="H186" s="121" t="s">
        <v>235</v>
      </c>
      <c r="I186" s="121" t="s">
        <v>228</v>
      </c>
      <c r="J186" s="121" t="s">
        <v>271</v>
      </c>
      <c r="K186" s="121" t="s">
        <v>290</v>
      </c>
      <c r="L186" s="121" t="s">
        <v>231</v>
      </c>
      <c r="M186" s="121" t="s">
        <v>252</v>
      </c>
      <c r="N186" s="121" t="s">
        <v>262</v>
      </c>
      <c r="O186" s="167" t="s">
        <v>263</v>
      </c>
      <c r="P186" s="251"/>
      <c r="Q186" s="251"/>
      <c r="R186" s="251"/>
      <c r="S186" s="251"/>
      <c r="T186" s="251"/>
      <c r="U186" s="251"/>
      <c r="V186" s="251"/>
      <c r="W186" s="251"/>
      <c r="X186" s="251"/>
      <c r="Y186" s="251"/>
      <c r="Z186" s="251"/>
      <c r="AA186" s="251"/>
      <c r="AB186" s="251"/>
      <c r="AC186" s="251"/>
      <c r="AD186" s="252"/>
      <c r="AE186" s="251"/>
      <c r="AF186" s="251"/>
      <c r="AG186" s="251"/>
      <c r="AH186" s="251"/>
    </row>
    <row r="187" spans="1:34" ht="12.75">
      <c r="A187" s="251"/>
      <c r="B187" s="258"/>
      <c r="C187" s="164" t="s">
        <v>466</v>
      </c>
      <c r="D187" s="121">
        <v>0.211</v>
      </c>
      <c r="E187" s="121">
        <v>0.1073</v>
      </c>
      <c r="F187" s="121">
        <v>0.211</v>
      </c>
      <c r="G187" s="121">
        <v>0.1073</v>
      </c>
      <c r="H187" s="121" t="s">
        <v>302</v>
      </c>
      <c r="I187" s="121" t="s">
        <v>265</v>
      </c>
      <c r="J187" s="121" t="s">
        <v>260</v>
      </c>
      <c r="K187" s="121" t="s">
        <v>413</v>
      </c>
      <c r="L187" s="121" t="s">
        <v>267</v>
      </c>
      <c r="M187" s="121" t="s">
        <v>261</v>
      </c>
      <c r="N187" s="121" t="s">
        <v>274</v>
      </c>
      <c r="O187" s="167" t="s">
        <v>275</v>
      </c>
      <c r="P187" s="251"/>
      <c r="Q187" s="251"/>
      <c r="R187" s="251"/>
      <c r="S187" s="251"/>
      <c r="T187" s="251"/>
      <c r="U187" s="251"/>
      <c r="V187" s="251"/>
      <c r="W187" s="251"/>
      <c r="X187" s="251"/>
      <c r="Y187" s="251"/>
      <c r="Z187" s="251"/>
      <c r="AA187" s="251"/>
      <c r="AB187" s="251"/>
      <c r="AC187" s="251"/>
      <c r="AD187" s="252"/>
      <c r="AE187" s="251"/>
      <c r="AF187" s="251"/>
      <c r="AG187" s="251"/>
      <c r="AH187" s="251"/>
    </row>
    <row r="188" spans="1:34" ht="12.75">
      <c r="A188" s="251"/>
      <c r="B188" s="258"/>
      <c r="C188" s="164" t="s">
        <v>468</v>
      </c>
      <c r="D188" s="121">
        <v>0.161</v>
      </c>
      <c r="E188" s="121">
        <v>0.1041</v>
      </c>
      <c r="F188" s="121">
        <v>0.161</v>
      </c>
      <c r="G188" s="121">
        <v>0.1041</v>
      </c>
      <c r="H188" s="121" t="s">
        <v>411</v>
      </c>
      <c r="I188" s="121" t="s">
        <v>302</v>
      </c>
      <c r="J188" s="121" t="s">
        <v>524</v>
      </c>
      <c r="K188" s="121" t="s">
        <v>303</v>
      </c>
      <c r="L188" s="121" t="s">
        <v>413</v>
      </c>
      <c r="M188" s="121" t="s">
        <v>316</v>
      </c>
      <c r="N188" s="121" t="s">
        <v>286</v>
      </c>
      <c r="O188" s="167" t="s">
        <v>287</v>
      </c>
      <c r="P188" s="251"/>
      <c r="Q188" s="251"/>
      <c r="R188" s="251"/>
      <c r="S188" s="251"/>
      <c r="T188" s="251"/>
      <c r="U188" s="251"/>
      <c r="V188" s="251"/>
      <c r="W188" s="251"/>
      <c r="X188" s="251"/>
      <c r="Y188" s="251"/>
      <c r="Z188" s="251"/>
      <c r="AA188" s="251"/>
      <c r="AB188" s="251"/>
      <c r="AC188" s="251"/>
      <c r="AD188" s="252"/>
      <c r="AE188" s="251"/>
      <c r="AF188" s="251"/>
      <c r="AG188" s="251"/>
      <c r="AH188" s="251"/>
    </row>
    <row r="189" spans="1:34" ht="12.75">
      <c r="A189" s="251"/>
      <c r="B189" s="258"/>
      <c r="C189" s="164" t="s">
        <v>469</v>
      </c>
      <c r="D189" s="121">
        <v>0.13</v>
      </c>
      <c r="E189" s="121">
        <v>0.1002</v>
      </c>
      <c r="F189" s="121">
        <v>0.13</v>
      </c>
      <c r="G189" s="121">
        <v>0.1002</v>
      </c>
      <c r="H189" s="121" t="s">
        <v>313</v>
      </c>
      <c r="I189" s="121" t="s">
        <v>290</v>
      </c>
      <c r="J189" s="121" t="s">
        <v>283</v>
      </c>
      <c r="K189" s="121" t="s">
        <v>540</v>
      </c>
      <c r="L189" s="121" t="s">
        <v>294</v>
      </c>
      <c r="M189" s="121" t="s">
        <v>352</v>
      </c>
      <c r="N189" s="121" t="s">
        <v>298</v>
      </c>
      <c r="O189" s="167" t="s">
        <v>299</v>
      </c>
      <c r="P189" s="251"/>
      <c r="Q189" s="251"/>
      <c r="R189" s="251"/>
      <c r="S189" s="251"/>
      <c r="T189" s="251"/>
      <c r="U189" s="251"/>
      <c r="V189" s="251"/>
      <c r="W189" s="251"/>
      <c r="X189" s="251"/>
      <c r="Y189" s="251"/>
      <c r="Z189" s="251"/>
      <c r="AA189" s="251"/>
      <c r="AB189" s="251"/>
      <c r="AC189" s="251"/>
      <c r="AD189" s="252"/>
      <c r="AE189" s="251"/>
      <c r="AF189" s="251"/>
      <c r="AG189" s="251"/>
      <c r="AH189" s="251"/>
    </row>
    <row r="190" spans="1:34" ht="13.5" thickBot="1">
      <c r="A190" s="251"/>
      <c r="B190" s="258"/>
      <c r="C190" s="165" t="s">
        <v>470</v>
      </c>
      <c r="D190" s="168">
        <v>0.102</v>
      </c>
      <c r="E190" s="168">
        <v>0.0968</v>
      </c>
      <c r="F190" s="168">
        <v>0.102</v>
      </c>
      <c r="G190" s="168">
        <v>0.0968</v>
      </c>
      <c r="H190" s="168" t="s">
        <v>303</v>
      </c>
      <c r="I190" s="168" t="s">
        <v>413</v>
      </c>
      <c r="J190" s="168" t="s">
        <v>432</v>
      </c>
      <c r="K190" s="168" t="s">
        <v>316</v>
      </c>
      <c r="L190" s="168" t="s">
        <v>433</v>
      </c>
      <c r="M190" s="168" t="s">
        <v>541</v>
      </c>
      <c r="N190" s="168" t="s">
        <v>310</v>
      </c>
      <c r="O190" s="169" t="s">
        <v>311</v>
      </c>
      <c r="P190" s="251"/>
      <c r="Q190" s="251"/>
      <c r="R190" s="251"/>
      <c r="S190" s="251"/>
      <c r="T190" s="251"/>
      <c r="U190" s="251"/>
      <c r="V190" s="251"/>
      <c r="W190" s="251"/>
      <c r="X190" s="251"/>
      <c r="Y190" s="251"/>
      <c r="Z190" s="251"/>
      <c r="AA190" s="251"/>
      <c r="AB190" s="251"/>
      <c r="AC190" s="251"/>
      <c r="AD190" s="252"/>
      <c r="AE190" s="251"/>
      <c r="AF190" s="251"/>
      <c r="AG190" s="251"/>
      <c r="AH190" s="251"/>
    </row>
    <row r="191" spans="1:34" ht="13.5" thickBot="1">
      <c r="A191" s="251"/>
      <c r="B191" s="258"/>
      <c r="C191" s="259"/>
      <c r="D191" s="259"/>
      <c r="E191" s="259"/>
      <c r="F191" s="259"/>
      <c r="G191" s="259"/>
      <c r="H191" s="259"/>
      <c r="I191" s="259"/>
      <c r="J191" s="259"/>
      <c r="K191" s="259"/>
      <c r="L191" s="259"/>
      <c r="M191" s="259"/>
      <c r="N191" s="259"/>
      <c r="O191" s="259"/>
      <c r="P191" s="251"/>
      <c r="Q191" s="251"/>
      <c r="R191" s="251"/>
      <c r="S191" s="251"/>
      <c r="T191" s="251"/>
      <c r="U191" s="251"/>
      <c r="V191" s="251"/>
      <c r="W191" s="251"/>
      <c r="X191" s="251"/>
      <c r="Y191" s="251"/>
      <c r="Z191" s="251"/>
      <c r="AA191" s="251"/>
      <c r="AB191" s="251"/>
      <c r="AC191" s="251"/>
      <c r="AD191" s="252"/>
      <c r="AE191" s="251"/>
      <c r="AF191" s="251"/>
      <c r="AG191" s="251"/>
      <c r="AH191" s="251"/>
    </row>
    <row r="192" spans="1:34" ht="12.75" customHeight="1">
      <c r="A192" s="251"/>
      <c r="B192" s="258"/>
      <c r="C192" s="340" t="s">
        <v>116</v>
      </c>
      <c r="D192" s="341"/>
      <c r="E192" s="341"/>
      <c r="F192" s="341"/>
      <c r="G192" s="341"/>
      <c r="H192" s="341"/>
      <c r="I192" s="341"/>
      <c r="J192" s="341"/>
      <c r="K192" s="341"/>
      <c r="L192" s="341"/>
      <c r="M192" s="341"/>
      <c r="N192" s="341"/>
      <c r="O192" s="342"/>
      <c r="P192" s="251"/>
      <c r="Q192" s="251"/>
      <c r="R192" s="251"/>
      <c r="S192" s="251"/>
      <c r="T192" s="251"/>
      <c r="U192" s="251"/>
      <c r="V192" s="251"/>
      <c r="W192" s="251"/>
      <c r="X192" s="251"/>
      <c r="Y192" s="251"/>
      <c r="Z192" s="251"/>
      <c r="AA192" s="251"/>
      <c r="AB192" s="251"/>
      <c r="AC192" s="251"/>
      <c r="AD192" s="252"/>
      <c r="AE192" s="251"/>
      <c r="AF192" s="251"/>
      <c r="AG192" s="251"/>
      <c r="AH192" s="251"/>
    </row>
    <row r="193" spans="1:34" ht="12.75">
      <c r="A193" s="251"/>
      <c r="B193" s="258"/>
      <c r="C193" s="335" t="s">
        <v>71</v>
      </c>
      <c r="D193" s="344" t="s">
        <v>101</v>
      </c>
      <c r="E193" s="344"/>
      <c r="F193" s="344" t="s">
        <v>102</v>
      </c>
      <c r="G193" s="344"/>
      <c r="H193" s="348" t="s">
        <v>111</v>
      </c>
      <c r="I193" s="348"/>
      <c r="J193" s="348"/>
      <c r="K193" s="348" t="s">
        <v>102</v>
      </c>
      <c r="L193" s="348"/>
      <c r="M193" s="348"/>
      <c r="N193" s="344" t="s">
        <v>103</v>
      </c>
      <c r="O193" s="343"/>
      <c r="P193" s="251"/>
      <c r="Q193" s="251"/>
      <c r="R193" s="251"/>
      <c r="S193" s="251"/>
      <c r="T193" s="251"/>
      <c r="U193" s="251"/>
      <c r="V193" s="251"/>
      <c r="W193" s="251"/>
      <c r="X193" s="251"/>
      <c r="Y193" s="251"/>
      <c r="Z193" s="251"/>
      <c r="AA193" s="251"/>
      <c r="AB193" s="251"/>
      <c r="AC193" s="251"/>
      <c r="AD193" s="252"/>
      <c r="AE193" s="251"/>
      <c r="AF193" s="251"/>
      <c r="AG193" s="251"/>
      <c r="AH193" s="251"/>
    </row>
    <row r="194" spans="1:34" ht="12.75">
      <c r="A194" s="251"/>
      <c r="B194" s="258"/>
      <c r="C194" s="335"/>
      <c r="D194" s="155" t="s">
        <v>104</v>
      </c>
      <c r="E194" s="155" t="s">
        <v>105</v>
      </c>
      <c r="F194" s="155" t="s">
        <v>104</v>
      </c>
      <c r="G194" s="155" t="s">
        <v>105</v>
      </c>
      <c r="H194" s="156" t="s">
        <v>51</v>
      </c>
      <c r="I194" s="156" t="s">
        <v>106</v>
      </c>
      <c r="J194" s="156" t="s">
        <v>50</v>
      </c>
      <c r="K194" s="156" t="s">
        <v>51</v>
      </c>
      <c r="L194" s="156" t="s">
        <v>106</v>
      </c>
      <c r="M194" s="156" t="s">
        <v>50</v>
      </c>
      <c r="N194" s="344" t="s">
        <v>101</v>
      </c>
      <c r="O194" s="343" t="s">
        <v>102</v>
      </c>
      <c r="P194" s="251"/>
      <c r="Q194" s="251"/>
      <c r="R194" s="251"/>
      <c r="S194" s="251"/>
      <c r="T194" s="251"/>
      <c r="U194" s="251"/>
      <c r="V194" s="251"/>
      <c r="W194" s="251"/>
      <c r="X194" s="251"/>
      <c r="Y194" s="251"/>
      <c r="Z194" s="251"/>
      <c r="AA194" s="251"/>
      <c r="AB194" s="251"/>
      <c r="AC194" s="251"/>
      <c r="AD194" s="252"/>
      <c r="AE194" s="251"/>
      <c r="AF194" s="251"/>
      <c r="AG194" s="251"/>
      <c r="AH194" s="251"/>
    </row>
    <row r="195" spans="1:34" ht="21" customHeight="1">
      <c r="A195" s="251"/>
      <c r="B195" s="258"/>
      <c r="C195" s="336"/>
      <c r="D195" s="156" t="s">
        <v>107</v>
      </c>
      <c r="E195" s="156" t="s">
        <v>107</v>
      </c>
      <c r="F195" s="156" t="s">
        <v>107</v>
      </c>
      <c r="G195" s="156" t="s">
        <v>107</v>
      </c>
      <c r="H195" s="156" t="s">
        <v>0</v>
      </c>
      <c r="I195" s="156" t="s">
        <v>0</v>
      </c>
      <c r="J195" s="156" t="s">
        <v>0</v>
      </c>
      <c r="K195" s="156" t="s">
        <v>0</v>
      </c>
      <c r="L195" s="156" t="s">
        <v>0</v>
      </c>
      <c r="M195" s="156" t="s">
        <v>0</v>
      </c>
      <c r="N195" s="344"/>
      <c r="O195" s="343"/>
      <c r="P195" s="251"/>
      <c r="Q195" s="251"/>
      <c r="R195" s="251"/>
      <c r="S195" s="251"/>
      <c r="T195" s="251"/>
      <c r="U195" s="251"/>
      <c r="V195" s="251"/>
      <c r="W195" s="251"/>
      <c r="X195" s="251"/>
      <c r="Y195" s="251"/>
      <c r="Z195" s="251"/>
      <c r="AA195" s="251"/>
      <c r="AB195" s="251"/>
      <c r="AC195" s="251"/>
      <c r="AD195" s="252"/>
      <c r="AE195" s="251"/>
      <c r="AF195" s="251"/>
      <c r="AG195" s="251"/>
      <c r="AH195" s="251"/>
    </row>
    <row r="196" spans="1:34" ht="12.75">
      <c r="A196" s="251"/>
      <c r="B196" s="258"/>
      <c r="C196" s="162" t="s">
        <v>83</v>
      </c>
      <c r="D196" s="118">
        <v>1.1</v>
      </c>
      <c r="E196" s="118">
        <v>0.134</v>
      </c>
      <c r="F196" s="118">
        <v>1.1</v>
      </c>
      <c r="G196" s="118">
        <v>0.134</v>
      </c>
      <c r="H196" s="118" t="s">
        <v>200</v>
      </c>
      <c r="I196" s="118" t="s">
        <v>194</v>
      </c>
      <c r="J196" s="118" t="s">
        <v>212</v>
      </c>
      <c r="K196" s="118" t="s">
        <v>196</v>
      </c>
      <c r="L196" s="118" t="s">
        <v>195</v>
      </c>
      <c r="M196" s="118" t="s">
        <v>207</v>
      </c>
      <c r="N196" s="118" t="s">
        <v>385</v>
      </c>
      <c r="O196" s="163" t="s">
        <v>386</v>
      </c>
      <c r="P196" s="251"/>
      <c r="Q196" s="251"/>
      <c r="R196" s="251"/>
      <c r="S196" s="251"/>
      <c r="T196" s="251"/>
      <c r="U196" s="251"/>
      <c r="V196" s="251"/>
      <c r="W196" s="251"/>
      <c r="X196" s="251"/>
      <c r="Y196" s="251"/>
      <c r="Z196" s="251"/>
      <c r="AA196" s="251"/>
      <c r="AB196" s="251"/>
      <c r="AC196" s="251"/>
      <c r="AD196" s="252"/>
      <c r="AE196" s="251"/>
      <c r="AF196" s="251"/>
      <c r="AG196" s="251"/>
      <c r="AH196" s="251"/>
    </row>
    <row r="197" spans="1:34" ht="12.75">
      <c r="A197" s="251"/>
      <c r="B197" s="258"/>
      <c r="C197" s="162" t="s">
        <v>84</v>
      </c>
      <c r="D197" s="118">
        <v>1.1</v>
      </c>
      <c r="E197" s="118">
        <v>0.134</v>
      </c>
      <c r="F197" s="118">
        <v>1.1</v>
      </c>
      <c r="G197" s="118">
        <v>0.134</v>
      </c>
      <c r="H197" s="118" t="s">
        <v>212</v>
      </c>
      <c r="I197" s="118" t="s">
        <v>201</v>
      </c>
      <c r="J197" s="118" t="s">
        <v>197</v>
      </c>
      <c r="K197" s="118" t="s">
        <v>207</v>
      </c>
      <c r="L197" s="118" t="s">
        <v>208</v>
      </c>
      <c r="M197" s="118" t="s">
        <v>219</v>
      </c>
      <c r="N197" s="118" t="s">
        <v>391</v>
      </c>
      <c r="O197" s="163" t="s">
        <v>523</v>
      </c>
      <c r="P197" s="251"/>
      <c r="Q197" s="251"/>
      <c r="R197" s="251"/>
      <c r="S197" s="251"/>
      <c r="T197" s="251"/>
      <c r="U197" s="251"/>
      <c r="V197" s="251"/>
      <c r="W197" s="251"/>
      <c r="X197" s="251"/>
      <c r="Y197" s="251"/>
      <c r="Z197" s="251"/>
      <c r="AA197" s="251"/>
      <c r="AB197" s="251"/>
      <c r="AC197" s="251"/>
      <c r="AD197" s="252"/>
      <c r="AE197" s="251"/>
      <c r="AF197" s="251"/>
      <c r="AG197" s="251"/>
      <c r="AH197" s="251"/>
    </row>
    <row r="198" spans="1:34" ht="12.75">
      <c r="A198" s="251"/>
      <c r="B198" s="258"/>
      <c r="C198" s="162" t="s">
        <v>85</v>
      </c>
      <c r="D198" s="118">
        <v>0.822</v>
      </c>
      <c r="E198" s="118">
        <v>0.1358</v>
      </c>
      <c r="F198" s="118">
        <v>0.822</v>
      </c>
      <c r="G198" s="118">
        <v>0.1358</v>
      </c>
      <c r="H198" s="118" t="s">
        <v>208</v>
      </c>
      <c r="I198" s="118" t="s">
        <v>202</v>
      </c>
      <c r="J198" s="118" t="s">
        <v>218</v>
      </c>
      <c r="K198" s="118" t="s">
        <v>219</v>
      </c>
      <c r="L198" s="118" t="s">
        <v>398</v>
      </c>
      <c r="M198" s="118" t="s">
        <v>234</v>
      </c>
      <c r="N198" s="118" t="s">
        <v>395</v>
      </c>
      <c r="O198" s="163" t="s">
        <v>396</v>
      </c>
      <c r="P198" s="251"/>
      <c r="Q198" s="251"/>
      <c r="R198" s="251"/>
      <c r="S198" s="251"/>
      <c r="T198" s="251"/>
      <c r="U198" s="251"/>
      <c r="V198" s="251"/>
      <c r="W198" s="251"/>
      <c r="X198" s="251"/>
      <c r="Y198" s="251"/>
      <c r="Z198" s="251"/>
      <c r="AA198" s="251"/>
      <c r="AB198" s="251"/>
      <c r="AC198" s="251"/>
      <c r="AD198" s="252"/>
      <c r="AE198" s="251"/>
      <c r="AF198" s="251"/>
      <c r="AG198" s="251"/>
      <c r="AH198" s="251"/>
    </row>
    <row r="199" spans="1:34" ht="12.75">
      <c r="A199" s="251"/>
      <c r="B199" s="258"/>
      <c r="C199" s="162" t="s">
        <v>86</v>
      </c>
      <c r="D199" s="118">
        <v>0.568</v>
      </c>
      <c r="E199" s="118">
        <v>0.1237</v>
      </c>
      <c r="F199" s="118">
        <v>0.568</v>
      </c>
      <c r="G199" s="118">
        <v>0.1237</v>
      </c>
      <c r="H199" s="118" t="s">
        <v>209</v>
      </c>
      <c r="I199" s="118" t="s">
        <v>207</v>
      </c>
      <c r="J199" s="118" t="s">
        <v>220</v>
      </c>
      <c r="K199" s="118" t="s">
        <v>229</v>
      </c>
      <c r="L199" s="118" t="s">
        <v>245</v>
      </c>
      <c r="M199" s="118" t="s">
        <v>302</v>
      </c>
      <c r="N199" s="118" t="s">
        <v>402</v>
      </c>
      <c r="O199" s="163" t="s">
        <v>233</v>
      </c>
      <c r="P199" s="251"/>
      <c r="Q199" s="251"/>
      <c r="R199" s="251"/>
      <c r="S199" s="251"/>
      <c r="T199" s="251"/>
      <c r="U199" s="251"/>
      <c r="V199" s="251"/>
      <c r="W199" s="251"/>
      <c r="X199" s="251"/>
      <c r="Y199" s="251"/>
      <c r="Z199" s="251"/>
      <c r="AA199" s="251"/>
      <c r="AB199" s="251"/>
      <c r="AC199" s="251"/>
      <c r="AD199" s="252"/>
      <c r="AE199" s="251"/>
      <c r="AF199" s="251"/>
      <c r="AG199" s="251"/>
      <c r="AH199" s="251"/>
    </row>
    <row r="200" spans="1:34" ht="12.75">
      <c r="A200" s="251"/>
      <c r="B200" s="258"/>
      <c r="C200" s="162" t="s">
        <v>87</v>
      </c>
      <c r="D200" s="118">
        <v>0.411</v>
      </c>
      <c r="E200" s="118">
        <v>0.1168</v>
      </c>
      <c r="F200" s="118">
        <v>0.411</v>
      </c>
      <c r="G200" s="118">
        <v>0.1168</v>
      </c>
      <c r="H200" s="118" t="s">
        <v>224</v>
      </c>
      <c r="I200" s="118" t="s">
        <v>399</v>
      </c>
      <c r="J200" s="118" t="s">
        <v>268</v>
      </c>
      <c r="K200" s="118" t="s">
        <v>240</v>
      </c>
      <c r="L200" s="118" t="s">
        <v>241</v>
      </c>
      <c r="M200" s="118" t="s">
        <v>282</v>
      </c>
      <c r="N200" s="118" t="s">
        <v>405</v>
      </c>
      <c r="O200" s="163" t="s">
        <v>244</v>
      </c>
      <c r="P200" s="251"/>
      <c r="Q200" s="251"/>
      <c r="R200" s="251"/>
      <c r="S200" s="251"/>
      <c r="T200" s="251"/>
      <c r="U200" s="251"/>
      <c r="V200" s="251"/>
      <c r="W200" s="251"/>
      <c r="X200" s="251"/>
      <c r="Y200" s="251"/>
      <c r="Z200" s="251"/>
      <c r="AA200" s="251"/>
      <c r="AB200" s="251"/>
      <c r="AC200" s="251"/>
      <c r="AD200" s="252"/>
      <c r="AE200" s="251"/>
      <c r="AF200" s="251"/>
      <c r="AG200" s="251"/>
      <c r="AH200" s="251"/>
    </row>
    <row r="201" spans="1:34" ht="12.75">
      <c r="A201" s="251"/>
      <c r="B201" s="258"/>
      <c r="C201" s="162" t="s">
        <v>88</v>
      </c>
      <c r="D201" s="118">
        <v>0.325</v>
      </c>
      <c r="E201" s="118">
        <v>0.1128</v>
      </c>
      <c r="F201" s="118">
        <v>0.325</v>
      </c>
      <c r="G201" s="118">
        <v>0.1128</v>
      </c>
      <c r="H201" s="118" t="s">
        <v>241</v>
      </c>
      <c r="I201" s="118" t="s">
        <v>224</v>
      </c>
      <c r="J201" s="118" t="s">
        <v>267</v>
      </c>
      <c r="K201" s="118" t="s">
        <v>251</v>
      </c>
      <c r="L201" s="118" t="s">
        <v>240</v>
      </c>
      <c r="M201" s="118" t="s">
        <v>294</v>
      </c>
      <c r="N201" s="118" t="s">
        <v>253</v>
      </c>
      <c r="O201" s="163" t="s">
        <v>254</v>
      </c>
      <c r="P201" s="251"/>
      <c r="Q201" s="251"/>
      <c r="R201" s="251"/>
      <c r="S201" s="251"/>
      <c r="T201" s="251"/>
      <c r="U201" s="251"/>
      <c r="V201" s="251"/>
      <c r="W201" s="251"/>
      <c r="X201" s="251"/>
      <c r="Y201" s="251"/>
      <c r="Z201" s="251"/>
      <c r="AA201" s="251"/>
      <c r="AB201" s="251"/>
      <c r="AC201" s="251"/>
      <c r="AD201" s="252"/>
      <c r="AE201" s="251"/>
      <c r="AF201" s="251"/>
      <c r="AG201" s="251"/>
      <c r="AH201" s="251"/>
    </row>
    <row r="202" spans="1:34" ht="12.75">
      <c r="A202" s="251"/>
      <c r="B202" s="258"/>
      <c r="C202" s="164" t="s">
        <v>255</v>
      </c>
      <c r="D202" s="118">
        <v>0.265</v>
      </c>
      <c r="E202" s="118">
        <v>0.1096</v>
      </c>
      <c r="F202" s="118">
        <v>0.265</v>
      </c>
      <c r="G202" s="118">
        <v>0.1096</v>
      </c>
      <c r="H202" s="118" t="s">
        <v>268</v>
      </c>
      <c r="I202" s="118" t="s">
        <v>250</v>
      </c>
      <c r="J202" s="118" t="s">
        <v>277</v>
      </c>
      <c r="K202" s="118" t="s">
        <v>260</v>
      </c>
      <c r="L202" s="118" t="s">
        <v>271</v>
      </c>
      <c r="M202" s="118" t="s">
        <v>433</v>
      </c>
      <c r="N202" s="118" t="s">
        <v>262</v>
      </c>
      <c r="O202" s="163" t="s">
        <v>263</v>
      </c>
      <c r="P202" s="251"/>
      <c r="Q202" s="251"/>
      <c r="R202" s="251"/>
      <c r="S202" s="251"/>
      <c r="T202" s="251"/>
      <c r="U202" s="251"/>
      <c r="V202" s="251"/>
      <c r="W202" s="251"/>
      <c r="X202" s="251"/>
      <c r="Y202" s="251"/>
      <c r="Z202" s="251"/>
      <c r="AA202" s="251"/>
      <c r="AB202" s="251"/>
      <c r="AC202" s="251"/>
      <c r="AD202" s="252"/>
      <c r="AE202" s="251"/>
      <c r="AF202" s="251"/>
      <c r="AG202" s="251"/>
      <c r="AH202" s="251"/>
    </row>
    <row r="203" spans="1:34" ht="12.75">
      <c r="A203" s="251"/>
      <c r="B203" s="258"/>
      <c r="C203" s="164" t="s">
        <v>264</v>
      </c>
      <c r="D203" s="118">
        <v>0.211</v>
      </c>
      <c r="E203" s="118">
        <v>0.1073</v>
      </c>
      <c r="F203" s="118">
        <v>0.211</v>
      </c>
      <c r="G203" s="118">
        <v>0.1073</v>
      </c>
      <c r="H203" s="118" t="s">
        <v>271</v>
      </c>
      <c r="I203" s="118" t="s">
        <v>268</v>
      </c>
      <c r="J203" s="118" t="s">
        <v>524</v>
      </c>
      <c r="K203" s="118" t="s">
        <v>252</v>
      </c>
      <c r="L203" s="118" t="s">
        <v>242</v>
      </c>
      <c r="M203" s="118" t="s">
        <v>421</v>
      </c>
      <c r="N203" s="118" t="s">
        <v>274</v>
      </c>
      <c r="O203" s="163" t="s">
        <v>275</v>
      </c>
      <c r="P203" s="251"/>
      <c r="Q203" s="251"/>
      <c r="R203" s="251"/>
      <c r="S203" s="251"/>
      <c r="T203" s="251"/>
      <c r="U203" s="251"/>
      <c r="V203" s="251"/>
      <c r="W203" s="251"/>
      <c r="X203" s="251"/>
      <c r="Y203" s="251"/>
      <c r="Z203" s="251"/>
      <c r="AA203" s="251"/>
      <c r="AB203" s="251"/>
      <c r="AC203" s="251"/>
      <c r="AD203" s="252"/>
      <c r="AE203" s="251"/>
      <c r="AF203" s="251"/>
      <c r="AG203" s="251"/>
      <c r="AH203" s="251"/>
    </row>
    <row r="204" spans="1:34" ht="12.75">
      <c r="A204" s="251"/>
      <c r="B204" s="258"/>
      <c r="C204" s="164" t="s">
        <v>276</v>
      </c>
      <c r="D204" s="118">
        <v>0.161</v>
      </c>
      <c r="E204" s="118">
        <v>0.1041</v>
      </c>
      <c r="F204" s="118">
        <v>0.161</v>
      </c>
      <c r="G204" s="118">
        <v>0.1041</v>
      </c>
      <c r="H204" s="118" t="s">
        <v>282</v>
      </c>
      <c r="I204" s="118" t="s">
        <v>251</v>
      </c>
      <c r="J204" s="118" t="s">
        <v>324</v>
      </c>
      <c r="K204" s="118" t="s">
        <v>284</v>
      </c>
      <c r="L204" s="118" t="s">
        <v>252</v>
      </c>
      <c r="M204" s="118" t="s">
        <v>525</v>
      </c>
      <c r="N204" s="118" t="s">
        <v>286</v>
      </c>
      <c r="O204" s="163" t="s">
        <v>287</v>
      </c>
      <c r="P204" s="251"/>
      <c r="Q204" s="251"/>
      <c r="R204" s="251"/>
      <c r="S204" s="251"/>
      <c r="T204" s="251"/>
      <c r="U204" s="251"/>
      <c r="V204" s="251"/>
      <c r="W204" s="251"/>
      <c r="X204" s="251"/>
      <c r="Y204" s="251"/>
      <c r="Z204" s="251"/>
      <c r="AA204" s="251"/>
      <c r="AB204" s="251"/>
      <c r="AC204" s="251"/>
      <c r="AD204" s="252"/>
      <c r="AE204" s="251"/>
      <c r="AF204" s="251"/>
      <c r="AG204" s="251"/>
      <c r="AH204" s="251"/>
    </row>
    <row r="205" spans="1:34" ht="12.75">
      <c r="A205" s="251"/>
      <c r="B205" s="258"/>
      <c r="C205" s="164" t="s">
        <v>288</v>
      </c>
      <c r="D205" s="118">
        <v>0.13</v>
      </c>
      <c r="E205" s="118">
        <v>0.1002</v>
      </c>
      <c r="F205" s="118">
        <v>0.13</v>
      </c>
      <c r="G205" s="118">
        <v>0.1002</v>
      </c>
      <c r="H205" s="118" t="s">
        <v>272</v>
      </c>
      <c r="I205" s="118" t="s">
        <v>260</v>
      </c>
      <c r="J205" s="118" t="s">
        <v>435</v>
      </c>
      <c r="K205" s="118" t="s">
        <v>296</v>
      </c>
      <c r="L205" s="118" t="s">
        <v>279</v>
      </c>
      <c r="M205" s="118" t="s">
        <v>331</v>
      </c>
      <c r="N205" s="118" t="s">
        <v>298</v>
      </c>
      <c r="O205" s="163" t="s">
        <v>299</v>
      </c>
      <c r="P205" s="251"/>
      <c r="Q205" s="251"/>
      <c r="R205" s="251"/>
      <c r="S205" s="251"/>
      <c r="T205" s="251"/>
      <c r="U205" s="251"/>
      <c r="V205" s="251"/>
      <c r="W205" s="251"/>
      <c r="X205" s="251"/>
      <c r="Y205" s="251"/>
      <c r="Z205" s="251"/>
      <c r="AA205" s="251"/>
      <c r="AB205" s="251"/>
      <c r="AC205" s="251"/>
      <c r="AD205" s="252"/>
      <c r="AE205" s="251"/>
      <c r="AF205" s="251"/>
      <c r="AG205" s="251"/>
      <c r="AH205" s="251"/>
    </row>
    <row r="206" spans="1:34" ht="12.75">
      <c r="A206" s="251"/>
      <c r="B206" s="258"/>
      <c r="C206" s="164" t="s">
        <v>300</v>
      </c>
      <c r="D206" s="118">
        <v>0.102</v>
      </c>
      <c r="E206" s="118">
        <v>0.0968</v>
      </c>
      <c r="F206" s="118">
        <v>0.102</v>
      </c>
      <c r="G206" s="118">
        <v>0.0968</v>
      </c>
      <c r="H206" s="118" t="s">
        <v>433</v>
      </c>
      <c r="I206" s="118" t="s">
        <v>252</v>
      </c>
      <c r="J206" s="118" t="s">
        <v>342</v>
      </c>
      <c r="K206" s="118" t="s">
        <v>304</v>
      </c>
      <c r="L206" s="118" t="s">
        <v>308</v>
      </c>
      <c r="M206" s="118" t="s">
        <v>527</v>
      </c>
      <c r="N206" s="118" t="s">
        <v>310</v>
      </c>
      <c r="O206" s="163" t="s">
        <v>311</v>
      </c>
      <c r="P206" s="251"/>
      <c r="Q206" s="251"/>
      <c r="R206" s="251"/>
      <c r="S206" s="251"/>
      <c r="T206" s="251"/>
      <c r="U206" s="251"/>
      <c r="V206" s="251"/>
      <c r="W206" s="251"/>
      <c r="X206" s="251"/>
      <c r="Y206" s="251"/>
      <c r="Z206" s="251"/>
      <c r="AA206" s="251"/>
      <c r="AB206" s="251"/>
      <c r="AC206" s="251"/>
      <c r="AD206" s="252"/>
      <c r="AE206" s="251"/>
      <c r="AF206" s="251"/>
      <c r="AG206" s="251"/>
      <c r="AH206" s="251"/>
    </row>
    <row r="207" spans="1:34" ht="12.75">
      <c r="A207" s="251"/>
      <c r="B207" s="258"/>
      <c r="C207" s="164" t="s">
        <v>312</v>
      </c>
      <c r="D207" s="118">
        <v>0.08</v>
      </c>
      <c r="E207" s="118">
        <v>0.0939</v>
      </c>
      <c r="F207" s="118">
        <v>0.08</v>
      </c>
      <c r="G207" s="118">
        <v>0.0939</v>
      </c>
      <c r="H207" s="118" t="s">
        <v>273</v>
      </c>
      <c r="I207" s="118" t="s">
        <v>261</v>
      </c>
      <c r="J207" s="118" t="s">
        <v>529</v>
      </c>
      <c r="K207" s="118" t="s">
        <v>318</v>
      </c>
      <c r="L207" s="118" t="s">
        <v>319</v>
      </c>
      <c r="M207" s="118" t="s">
        <v>530</v>
      </c>
      <c r="N207" s="118" t="s">
        <v>321</v>
      </c>
      <c r="O207" s="163" t="s">
        <v>322</v>
      </c>
      <c r="P207" s="251"/>
      <c r="Q207" s="251"/>
      <c r="R207" s="251"/>
      <c r="S207" s="251"/>
      <c r="T207" s="251"/>
      <c r="U207" s="251"/>
      <c r="V207" s="251"/>
      <c r="W207" s="251"/>
      <c r="X207" s="251"/>
      <c r="Y207" s="251"/>
      <c r="Z207" s="251"/>
      <c r="AA207" s="251"/>
      <c r="AB207" s="251"/>
      <c r="AC207" s="251"/>
      <c r="AD207" s="252"/>
      <c r="AE207" s="251"/>
      <c r="AF207" s="251"/>
      <c r="AG207" s="251"/>
      <c r="AH207" s="251"/>
    </row>
    <row r="208" spans="1:34" ht="12.75">
      <c r="A208" s="251"/>
      <c r="B208" s="258"/>
      <c r="C208" s="164" t="s">
        <v>323</v>
      </c>
      <c r="D208" s="118">
        <v>0.063</v>
      </c>
      <c r="E208" s="118">
        <v>0.0921</v>
      </c>
      <c r="F208" s="118">
        <v>0.063</v>
      </c>
      <c r="G208" s="118">
        <v>0.0921</v>
      </c>
      <c r="H208" s="118" t="s">
        <v>532</v>
      </c>
      <c r="I208" s="118" t="s">
        <v>308</v>
      </c>
      <c r="J208" s="118" t="s">
        <v>533</v>
      </c>
      <c r="K208" s="118" t="s">
        <v>331</v>
      </c>
      <c r="L208" s="118" t="s">
        <v>439</v>
      </c>
      <c r="M208" s="118" t="s">
        <v>534</v>
      </c>
      <c r="N208" s="118" t="s">
        <v>333</v>
      </c>
      <c r="O208" s="163" t="s">
        <v>542</v>
      </c>
      <c r="P208" s="251"/>
      <c r="Q208" s="251"/>
      <c r="R208" s="251"/>
      <c r="S208" s="251"/>
      <c r="T208" s="251"/>
      <c r="U208" s="251"/>
      <c r="V208" s="251"/>
      <c r="W208" s="251"/>
      <c r="X208" s="251"/>
      <c r="Y208" s="251"/>
      <c r="Z208" s="251"/>
      <c r="AA208" s="251"/>
      <c r="AB208" s="251"/>
      <c r="AC208" s="251"/>
      <c r="AD208" s="252"/>
      <c r="AE208" s="251"/>
      <c r="AF208" s="251"/>
      <c r="AG208" s="251"/>
      <c r="AH208" s="251"/>
    </row>
    <row r="209" spans="1:34" ht="12.75">
      <c r="A209" s="251"/>
      <c r="B209" s="258"/>
      <c r="C209" s="164" t="s">
        <v>335</v>
      </c>
      <c r="D209" s="118">
        <v>0.0513</v>
      </c>
      <c r="E209" s="118">
        <v>0.097</v>
      </c>
      <c r="F209" s="118">
        <v>0.0513</v>
      </c>
      <c r="G209" s="118">
        <v>0.097</v>
      </c>
      <c r="H209" s="118" t="s">
        <v>536</v>
      </c>
      <c r="I209" s="118" t="s">
        <v>319</v>
      </c>
      <c r="J209" s="118" t="s">
        <v>537</v>
      </c>
      <c r="K209" s="118" t="s">
        <v>341</v>
      </c>
      <c r="L209" s="118" t="s">
        <v>342</v>
      </c>
      <c r="M209" s="118" t="s">
        <v>343</v>
      </c>
      <c r="N209" s="118" t="s">
        <v>344</v>
      </c>
      <c r="O209" s="163" t="s">
        <v>345</v>
      </c>
      <c r="P209" s="251"/>
      <c r="Q209" s="251"/>
      <c r="R209" s="251"/>
      <c r="S209" s="251"/>
      <c r="T209" s="251"/>
      <c r="U209" s="251"/>
      <c r="V209" s="251"/>
      <c r="W209" s="251"/>
      <c r="X209" s="251"/>
      <c r="Y209" s="251"/>
      <c r="Z209" s="251"/>
      <c r="AA209" s="251"/>
      <c r="AB209" s="251"/>
      <c r="AC209" s="251"/>
      <c r="AD209" s="252"/>
      <c r="AE209" s="251"/>
      <c r="AF209" s="251"/>
      <c r="AG209" s="251"/>
      <c r="AH209" s="251"/>
    </row>
    <row r="210" spans="1:34" ht="12.75">
      <c r="A210" s="251"/>
      <c r="B210" s="258"/>
      <c r="C210" s="164" t="s">
        <v>346</v>
      </c>
      <c r="D210" s="118">
        <v>0.0426</v>
      </c>
      <c r="E210" s="118">
        <v>0.0875</v>
      </c>
      <c r="F210" s="118">
        <v>0.0426</v>
      </c>
      <c r="G210" s="118">
        <v>0.0875</v>
      </c>
      <c r="H210" s="118" t="s">
        <v>331</v>
      </c>
      <c r="I210" s="118" t="s">
        <v>439</v>
      </c>
      <c r="J210" s="118" t="s">
        <v>539</v>
      </c>
      <c r="K210" s="118" t="s">
        <v>527</v>
      </c>
      <c r="L210" s="118" t="s">
        <v>297</v>
      </c>
      <c r="M210" s="118" t="s">
        <v>354</v>
      </c>
      <c r="N210" s="118" t="s">
        <v>355</v>
      </c>
      <c r="O210" s="163" t="s">
        <v>356</v>
      </c>
      <c r="P210" s="251"/>
      <c r="Q210" s="251"/>
      <c r="R210" s="251"/>
      <c r="S210" s="251"/>
      <c r="T210" s="251"/>
      <c r="U210" s="251"/>
      <c r="V210" s="251"/>
      <c r="W210" s="251"/>
      <c r="X210" s="251"/>
      <c r="Y210" s="251"/>
      <c r="Z210" s="251"/>
      <c r="AA210" s="251"/>
      <c r="AB210" s="251"/>
      <c r="AC210" s="251"/>
      <c r="AD210" s="252"/>
      <c r="AE210" s="251"/>
      <c r="AF210" s="251"/>
      <c r="AG210" s="251"/>
      <c r="AH210" s="251"/>
    </row>
    <row r="211" spans="1:34" ht="12.75">
      <c r="A211" s="251"/>
      <c r="B211" s="258"/>
      <c r="C211" s="164" t="s">
        <v>456</v>
      </c>
      <c r="D211" s="118">
        <v>1.1</v>
      </c>
      <c r="E211" s="118">
        <v>0.134</v>
      </c>
      <c r="F211" s="118">
        <v>1.1</v>
      </c>
      <c r="G211" s="118">
        <v>0.134</v>
      </c>
      <c r="H211" s="118" t="s">
        <v>384</v>
      </c>
      <c r="I211" s="118" t="s">
        <v>179</v>
      </c>
      <c r="J211" s="118" t="s">
        <v>201</v>
      </c>
      <c r="K211" s="118" t="s">
        <v>212</v>
      </c>
      <c r="L211" s="118" t="s">
        <v>201</v>
      </c>
      <c r="M211" s="118" t="s">
        <v>206</v>
      </c>
      <c r="N211" s="118" t="s">
        <v>385</v>
      </c>
      <c r="O211" s="163" t="s">
        <v>386</v>
      </c>
      <c r="P211" s="251"/>
      <c r="Q211" s="251"/>
      <c r="R211" s="251"/>
      <c r="S211" s="251"/>
      <c r="T211" s="251"/>
      <c r="U211" s="251"/>
      <c r="V211" s="251"/>
      <c r="W211" s="251"/>
      <c r="X211" s="251"/>
      <c r="Y211" s="251"/>
      <c r="Z211" s="251"/>
      <c r="AA211" s="251"/>
      <c r="AB211" s="251"/>
      <c r="AC211" s="251"/>
      <c r="AD211" s="252"/>
      <c r="AE211" s="251"/>
      <c r="AF211" s="251"/>
      <c r="AG211" s="251"/>
      <c r="AH211" s="251"/>
    </row>
    <row r="212" spans="1:34" ht="12.75">
      <c r="A212" s="251"/>
      <c r="B212" s="258"/>
      <c r="C212" s="164" t="s">
        <v>458</v>
      </c>
      <c r="D212" s="118">
        <v>1.1</v>
      </c>
      <c r="E212" s="118">
        <v>0.134</v>
      </c>
      <c r="F212" s="118">
        <v>1.1</v>
      </c>
      <c r="G212" s="118">
        <v>0.134</v>
      </c>
      <c r="H212" s="118" t="s">
        <v>195</v>
      </c>
      <c r="I212" s="118" t="s">
        <v>382</v>
      </c>
      <c r="J212" s="118" t="s">
        <v>202</v>
      </c>
      <c r="K212" s="118" t="s">
        <v>197</v>
      </c>
      <c r="L212" s="118" t="s">
        <v>202</v>
      </c>
      <c r="M212" s="118" t="s">
        <v>214</v>
      </c>
      <c r="N212" s="118" t="s">
        <v>391</v>
      </c>
      <c r="O212" s="163" t="s">
        <v>392</v>
      </c>
      <c r="P212" s="251"/>
      <c r="Q212" s="251"/>
      <c r="R212" s="251"/>
      <c r="S212" s="251"/>
      <c r="T212" s="251"/>
      <c r="U212" s="251"/>
      <c r="V212" s="251"/>
      <c r="W212" s="251"/>
      <c r="X212" s="251"/>
      <c r="Y212" s="251"/>
      <c r="Z212" s="251"/>
      <c r="AA212" s="251"/>
      <c r="AB212" s="251"/>
      <c r="AC212" s="251"/>
      <c r="AD212" s="252"/>
      <c r="AE212" s="251"/>
      <c r="AF212" s="251"/>
      <c r="AG212" s="251"/>
      <c r="AH212" s="251"/>
    </row>
    <row r="213" spans="1:34" ht="12.75">
      <c r="A213" s="251"/>
      <c r="B213" s="258"/>
      <c r="C213" s="164" t="s">
        <v>459</v>
      </c>
      <c r="D213" s="118">
        <v>0.822</v>
      </c>
      <c r="E213" s="118">
        <v>0.1358</v>
      </c>
      <c r="F213" s="118">
        <v>0.822</v>
      </c>
      <c r="G213" s="118">
        <v>0.1358</v>
      </c>
      <c r="H213" s="118" t="s">
        <v>196</v>
      </c>
      <c r="I213" s="118" t="s">
        <v>195</v>
      </c>
      <c r="J213" s="118" t="s">
        <v>213</v>
      </c>
      <c r="K213" s="118" t="s">
        <v>218</v>
      </c>
      <c r="L213" s="118" t="s">
        <v>213</v>
      </c>
      <c r="M213" s="118" t="s">
        <v>245</v>
      </c>
      <c r="N213" s="118" t="s">
        <v>395</v>
      </c>
      <c r="O213" s="163" t="s">
        <v>396</v>
      </c>
      <c r="P213" s="251"/>
      <c r="Q213" s="251"/>
      <c r="R213" s="251"/>
      <c r="S213" s="251"/>
      <c r="T213" s="251"/>
      <c r="U213" s="251"/>
      <c r="V213" s="251"/>
      <c r="W213" s="251"/>
      <c r="X213" s="251"/>
      <c r="Y213" s="251"/>
      <c r="Z213" s="251"/>
      <c r="AA213" s="251"/>
      <c r="AB213" s="251"/>
      <c r="AC213" s="251"/>
      <c r="AD213" s="252"/>
      <c r="AE213" s="251"/>
      <c r="AF213" s="251"/>
      <c r="AG213" s="251"/>
      <c r="AH213" s="251"/>
    </row>
    <row r="214" spans="1:34" ht="12.75">
      <c r="A214" s="251"/>
      <c r="B214" s="258"/>
      <c r="C214" s="164" t="s">
        <v>460</v>
      </c>
      <c r="D214" s="118">
        <v>0.568</v>
      </c>
      <c r="E214" s="118">
        <v>0.1237</v>
      </c>
      <c r="F214" s="118">
        <v>0.568</v>
      </c>
      <c r="G214" s="118">
        <v>0.1237</v>
      </c>
      <c r="H214" s="118" t="s">
        <v>398</v>
      </c>
      <c r="I214" s="118" t="s">
        <v>208</v>
      </c>
      <c r="J214" s="118" t="s">
        <v>223</v>
      </c>
      <c r="K214" s="118" t="s">
        <v>228</v>
      </c>
      <c r="L214" s="118" t="s">
        <v>399</v>
      </c>
      <c r="M214" s="118" t="s">
        <v>265</v>
      </c>
      <c r="N214" s="118" t="s">
        <v>402</v>
      </c>
      <c r="O214" s="163" t="s">
        <v>233</v>
      </c>
      <c r="P214" s="251"/>
      <c r="Q214" s="251"/>
      <c r="R214" s="251"/>
      <c r="S214" s="251"/>
      <c r="T214" s="251"/>
      <c r="U214" s="251"/>
      <c r="V214" s="251"/>
      <c r="W214" s="251"/>
      <c r="X214" s="251"/>
      <c r="Y214" s="251"/>
      <c r="Z214" s="251"/>
      <c r="AA214" s="251"/>
      <c r="AB214" s="251"/>
      <c r="AC214" s="251"/>
      <c r="AD214" s="252"/>
      <c r="AE214" s="251"/>
      <c r="AF214" s="251"/>
      <c r="AG214" s="251"/>
      <c r="AH214" s="251"/>
    </row>
    <row r="215" spans="1:34" ht="12.75">
      <c r="A215" s="251"/>
      <c r="B215" s="258"/>
      <c r="C215" s="164" t="s">
        <v>461</v>
      </c>
      <c r="D215" s="118">
        <v>0.411</v>
      </c>
      <c r="E215" s="118">
        <v>0.1168</v>
      </c>
      <c r="F215" s="118">
        <v>0.411</v>
      </c>
      <c r="G215" s="118">
        <v>0.1168</v>
      </c>
      <c r="H215" s="118" t="s">
        <v>223</v>
      </c>
      <c r="I215" s="118" t="s">
        <v>214</v>
      </c>
      <c r="J215" s="118" t="s">
        <v>250</v>
      </c>
      <c r="K215" s="118" t="s">
        <v>246</v>
      </c>
      <c r="L215" s="118" t="s">
        <v>220</v>
      </c>
      <c r="M215" s="118" t="s">
        <v>271</v>
      </c>
      <c r="N215" s="118" t="s">
        <v>405</v>
      </c>
      <c r="O215" s="163" t="s">
        <v>244</v>
      </c>
      <c r="P215" s="251"/>
      <c r="Q215" s="251"/>
      <c r="R215" s="251"/>
      <c r="S215" s="251"/>
      <c r="T215" s="251"/>
      <c r="U215" s="251"/>
      <c r="V215" s="251"/>
      <c r="W215" s="251"/>
      <c r="X215" s="251"/>
      <c r="Y215" s="251"/>
      <c r="Z215" s="251"/>
      <c r="AA215" s="251"/>
      <c r="AB215" s="251"/>
      <c r="AC215" s="251"/>
      <c r="AD215" s="252"/>
      <c r="AE215" s="251"/>
      <c r="AF215" s="251"/>
      <c r="AG215" s="251"/>
      <c r="AH215" s="251"/>
    </row>
    <row r="216" spans="1:34" ht="12.75">
      <c r="A216" s="251"/>
      <c r="B216" s="258"/>
      <c r="C216" s="164" t="s">
        <v>463</v>
      </c>
      <c r="D216" s="118">
        <v>0.325</v>
      </c>
      <c r="E216" s="118">
        <v>0.1128</v>
      </c>
      <c r="F216" s="118">
        <v>0.325</v>
      </c>
      <c r="G216" s="118">
        <v>0.1128</v>
      </c>
      <c r="H216" s="118" t="s">
        <v>234</v>
      </c>
      <c r="I216" s="118" t="s">
        <v>223</v>
      </c>
      <c r="J216" s="118" t="s">
        <v>268</v>
      </c>
      <c r="K216" s="118" t="s">
        <v>247</v>
      </c>
      <c r="L216" s="118" t="s">
        <v>265</v>
      </c>
      <c r="M216" s="118" t="s">
        <v>260</v>
      </c>
      <c r="N216" s="118" t="s">
        <v>253</v>
      </c>
      <c r="O216" s="163" t="s">
        <v>254</v>
      </c>
      <c r="P216" s="251"/>
      <c r="Q216" s="251"/>
      <c r="R216" s="251"/>
      <c r="S216" s="251"/>
      <c r="T216" s="251"/>
      <c r="U216" s="251"/>
      <c r="V216" s="251"/>
      <c r="W216" s="251"/>
      <c r="X216" s="251"/>
      <c r="Y216" s="251"/>
      <c r="Z216" s="251"/>
      <c r="AA216" s="251"/>
      <c r="AB216" s="251"/>
      <c r="AC216" s="251"/>
      <c r="AD216" s="252"/>
      <c r="AE216" s="251"/>
      <c r="AF216" s="251"/>
      <c r="AG216" s="251"/>
      <c r="AH216" s="251"/>
    </row>
    <row r="217" spans="1:34" ht="12.75">
      <c r="A217" s="251"/>
      <c r="B217" s="258"/>
      <c r="C217" s="164" t="s">
        <v>465</v>
      </c>
      <c r="D217" s="118">
        <v>0.265</v>
      </c>
      <c r="E217" s="118">
        <v>0.1096</v>
      </c>
      <c r="F217" s="118">
        <v>0.265</v>
      </c>
      <c r="G217" s="118">
        <v>0.1096</v>
      </c>
      <c r="H217" s="118" t="s">
        <v>235</v>
      </c>
      <c r="I217" s="118" t="s">
        <v>228</v>
      </c>
      <c r="J217" s="118" t="s">
        <v>271</v>
      </c>
      <c r="K217" s="118" t="s">
        <v>290</v>
      </c>
      <c r="L217" s="118" t="s">
        <v>231</v>
      </c>
      <c r="M217" s="118" t="s">
        <v>252</v>
      </c>
      <c r="N217" s="118" t="s">
        <v>262</v>
      </c>
      <c r="O217" s="163" t="s">
        <v>263</v>
      </c>
      <c r="P217" s="251"/>
      <c r="Q217" s="251"/>
      <c r="R217" s="251"/>
      <c r="S217" s="251"/>
      <c r="T217" s="251"/>
      <c r="U217" s="251"/>
      <c r="V217" s="251"/>
      <c r="W217" s="251"/>
      <c r="X217" s="251"/>
      <c r="Y217" s="251"/>
      <c r="Z217" s="251"/>
      <c r="AA217" s="251"/>
      <c r="AB217" s="251"/>
      <c r="AC217" s="251"/>
      <c r="AD217" s="252"/>
      <c r="AE217" s="251"/>
      <c r="AF217" s="251"/>
      <c r="AG217" s="251"/>
      <c r="AH217" s="251"/>
    </row>
    <row r="218" spans="1:34" ht="12.75">
      <c r="A218" s="251"/>
      <c r="B218" s="258"/>
      <c r="C218" s="164" t="s">
        <v>466</v>
      </c>
      <c r="D218" s="118">
        <v>0.211</v>
      </c>
      <c r="E218" s="118">
        <v>0.1073</v>
      </c>
      <c r="F218" s="118">
        <v>0.211</v>
      </c>
      <c r="G218" s="118">
        <v>0.1073</v>
      </c>
      <c r="H218" s="118" t="s">
        <v>302</v>
      </c>
      <c r="I218" s="118" t="s">
        <v>265</v>
      </c>
      <c r="J218" s="118" t="s">
        <v>260</v>
      </c>
      <c r="K218" s="118" t="s">
        <v>413</v>
      </c>
      <c r="L218" s="118" t="s">
        <v>267</v>
      </c>
      <c r="M218" s="118" t="s">
        <v>261</v>
      </c>
      <c r="N218" s="118" t="s">
        <v>274</v>
      </c>
      <c r="O218" s="163" t="s">
        <v>275</v>
      </c>
      <c r="P218" s="251"/>
      <c r="Q218" s="251"/>
      <c r="R218" s="251"/>
      <c r="S218" s="251"/>
      <c r="T218" s="251"/>
      <c r="U218" s="251"/>
      <c r="V218" s="251"/>
      <c r="W218" s="251"/>
      <c r="X218" s="251"/>
      <c r="Y218" s="251"/>
      <c r="Z218" s="251"/>
      <c r="AA218" s="251"/>
      <c r="AB218" s="251"/>
      <c r="AC218" s="251"/>
      <c r="AD218" s="252"/>
      <c r="AE218" s="251"/>
      <c r="AF218" s="251"/>
      <c r="AG218" s="251"/>
      <c r="AH218" s="251"/>
    </row>
    <row r="219" spans="1:34" ht="12.75">
      <c r="A219" s="251"/>
      <c r="B219" s="258"/>
      <c r="C219" s="164" t="s">
        <v>468</v>
      </c>
      <c r="D219" s="118">
        <v>0.161</v>
      </c>
      <c r="E219" s="118">
        <v>0.1041</v>
      </c>
      <c r="F219" s="118">
        <v>0.161</v>
      </c>
      <c r="G219" s="118">
        <v>0.1041</v>
      </c>
      <c r="H219" s="118" t="s">
        <v>411</v>
      </c>
      <c r="I219" s="118" t="s">
        <v>302</v>
      </c>
      <c r="J219" s="118" t="s">
        <v>524</v>
      </c>
      <c r="K219" s="118" t="s">
        <v>303</v>
      </c>
      <c r="L219" s="118" t="s">
        <v>413</v>
      </c>
      <c r="M219" s="118" t="s">
        <v>316</v>
      </c>
      <c r="N219" s="118" t="s">
        <v>286</v>
      </c>
      <c r="O219" s="163" t="s">
        <v>287</v>
      </c>
      <c r="P219" s="251"/>
      <c r="Q219" s="251"/>
      <c r="R219" s="251"/>
      <c r="S219" s="251"/>
      <c r="T219" s="251"/>
      <c r="U219" s="251"/>
      <c r="V219" s="251"/>
      <c r="W219" s="251"/>
      <c r="X219" s="251"/>
      <c r="Y219" s="251"/>
      <c r="Z219" s="251"/>
      <c r="AA219" s="251"/>
      <c r="AB219" s="251"/>
      <c r="AC219" s="251"/>
      <c r="AD219" s="252"/>
      <c r="AE219" s="251"/>
      <c r="AF219" s="251"/>
      <c r="AG219" s="251"/>
      <c r="AH219" s="251"/>
    </row>
    <row r="220" spans="1:34" ht="12.75">
      <c r="A220" s="251"/>
      <c r="B220" s="258"/>
      <c r="C220" s="164" t="s">
        <v>469</v>
      </c>
      <c r="D220" s="118">
        <v>0.13</v>
      </c>
      <c r="E220" s="118">
        <v>0.1002</v>
      </c>
      <c r="F220" s="118">
        <v>0.13</v>
      </c>
      <c r="G220" s="118">
        <v>0.1002</v>
      </c>
      <c r="H220" s="118" t="s">
        <v>313</v>
      </c>
      <c r="I220" s="118" t="s">
        <v>290</v>
      </c>
      <c r="J220" s="118" t="s">
        <v>283</v>
      </c>
      <c r="K220" s="118" t="s">
        <v>540</v>
      </c>
      <c r="L220" s="118" t="s">
        <v>294</v>
      </c>
      <c r="M220" s="118" t="s">
        <v>352</v>
      </c>
      <c r="N220" s="118" t="s">
        <v>298</v>
      </c>
      <c r="O220" s="163" t="s">
        <v>299</v>
      </c>
      <c r="P220" s="251"/>
      <c r="Q220" s="251"/>
      <c r="R220" s="251"/>
      <c r="S220" s="251"/>
      <c r="T220" s="251"/>
      <c r="U220" s="251"/>
      <c r="V220" s="251"/>
      <c r="W220" s="251"/>
      <c r="X220" s="251"/>
      <c r="Y220" s="251"/>
      <c r="Z220" s="251"/>
      <c r="AA220" s="251"/>
      <c r="AB220" s="251"/>
      <c r="AC220" s="251"/>
      <c r="AD220" s="252"/>
      <c r="AE220" s="251"/>
      <c r="AF220" s="251"/>
      <c r="AG220" s="251"/>
      <c r="AH220" s="251"/>
    </row>
    <row r="221" spans="1:34" ht="13.5" thickBot="1">
      <c r="A221" s="251"/>
      <c r="B221" s="258"/>
      <c r="C221" s="165" t="s">
        <v>470</v>
      </c>
      <c r="D221" s="159">
        <v>0.102</v>
      </c>
      <c r="E221" s="159">
        <v>0.0968</v>
      </c>
      <c r="F221" s="159">
        <v>0.102</v>
      </c>
      <c r="G221" s="159">
        <v>0.0968</v>
      </c>
      <c r="H221" s="159" t="s">
        <v>303</v>
      </c>
      <c r="I221" s="159" t="s">
        <v>413</v>
      </c>
      <c r="J221" s="159" t="s">
        <v>432</v>
      </c>
      <c r="K221" s="159" t="s">
        <v>316</v>
      </c>
      <c r="L221" s="159" t="s">
        <v>433</v>
      </c>
      <c r="M221" s="159" t="s">
        <v>541</v>
      </c>
      <c r="N221" s="159" t="s">
        <v>310</v>
      </c>
      <c r="O221" s="166" t="s">
        <v>311</v>
      </c>
      <c r="P221" s="251"/>
      <c r="Q221" s="251"/>
      <c r="R221" s="251"/>
      <c r="S221" s="251"/>
      <c r="T221" s="251"/>
      <c r="U221" s="251"/>
      <c r="V221" s="251"/>
      <c r="W221" s="251"/>
      <c r="X221" s="251"/>
      <c r="Y221" s="251"/>
      <c r="Z221" s="251"/>
      <c r="AA221" s="251"/>
      <c r="AB221" s="251"/>
      <c r="AC221" s="251"/>
      <c r="AD221" s="252"/>
      <c r="AE221" s="251"/>
      <c r="AF221" s="251"/>
      <c r="AG221" s="251"/>
      <c r="AH221" s="251"/>
    </row>
    <row r="222" spans="1:34" ht="13.5" thickBot="1">
      <c r="A222" s="251"/>
      <c r="B222" s="258"/>
      <c r="C222" s="259"/>
      <c r="D222" s="259"/>
      <c r="E222" s="259"/>
      <c r="F222" s="259"/>
      <c r="G222" s="259"/>
      <c r="H222" s="259"/>
      <c r="I222" s="259"/>
      <c r="J222" s="259"/>
      <c r="K222" s="259"/>
      <c r="L222" s="259"/>
      <c r="M222" s="259"/>
      <c r="N222" s="259"/>
      <c r="O222" s="259"/>
      <c r="P222" s="251"/>
      <c r="Q222" s="251"/>
      <c r="R222" s="251"/>
      <c r="S222" s="251"/>
      <c r="T222" s="251"/>
      <c r="U222" s="251"/>
      <c r="V222" s="251"/>
      <c r="W222" s="251"/>
      <c r="X222" s="251"/>
      <c r="Y222" s="251"/>
      <c r="Z222" s="251"/>
      <c r="AA222" s="251"/>
      <c r="AB222" s="251"/>
      <c r="AC222" s="251"/>
      <c r="AD222" s="252"/>
      <c r="AE222" s="251"/>
      <c r="AF222" s="251"/>
      <c r="AG222" s="251"/>
      <c r="AH222" s="251"/>
    </row>
    <row r="223" spans="1:34" ht="12.75" customHeight="1">
      <c r="A223" s="251"/>
      <c r="B223" s="258"/>
      <c r="C223" s="337" t="s">
        <v>117</v>
      </c>
      <c r="D223" s="338"/>
      <c r="E223" s="338"/>
      <c r="F223" s="338"/>
      <c r="G223" s="338"/>
      <c r="H223" s="338"/>
      <c r="I223" s="338"/>
      <c r="J223" s="338"/>
      <c r="K223" s="338"/>
      <c r="L223" s="338"/>
      <c r="M223" s="338"/>
      <c r="N223" s="338"/>
      <c r="O223" s="339"/>
      <c r="P223" s="251"/>
      <c r="Q223" s="251"/>
      <c r="R223" s="251"/>
      <c r="S223" s="251"/>
      <c r="T223" s="251"/>
      <c r="U223" s="251"/>
      <c r="V223" s="251"/>
      <c r="W223" s="251"/>
      <c r="X223" s="251"/>
      <c r="Y223" s="251"/>
      <c r="Z223" s="251"/>
      <c r="AA223" s="251"/>
      <c r="AB223" s="251"/>
      <c r="AC223" s="251"/>
      <c r="AD223" s="252"/>
      <c r="AE223" s="251"/>
      <c r="AF223" s="251"/>
      <c r="AG223" s="251"/>
      <c r="AH223" s="251"/>
    </row>
    <row r="224" spans="1:34" ht="45" customHeight="1">
      <c r="A224" s="251"/>
      <c r="B224" s="258"/>
      <c r="C224" s="345" t="s">
        <v>71</v>
      </c>
      <c r="D224" s="344" t="s">
        <v>101</v>
      </c>
      <c r="E224" s="344"/>
      <c r="F224" s="344" t="s">
        <v>102</v>
      </c>
      <c r="G224" s="344"/>
      <c r="H224" s="344" t="s">
        <v>111</v>
      </c>
      <c r="I224" s="344"/>
      <c r="J224" s="344"/>
      <c r="K224" s="344" t="s">
        <v>102</v>
      </c>
      <c r="L224" s="344"/>
      <c r="M224" s="344"/>
      <c r="N224" s="344" t="s">
        <v>103</v>
      </c>
      <c r="O224" s="343"/>
      <c r="P224" s="251"/>
      <c r="Q224" s="251"/>
      <c r="R224" s="251"/>
      <c r="S224" s="251"/>
      <c r="T224" s="251"/>
      <c r="U224" s="251"/>
      <c r="V224" s="251"/>
      <c r="W224" s="251"/>
      <c r="X224" s="251"/>
      <c r="Y224" s="251"/>
      <c r="Z224" s="251"/>
      <c r="AA224" s="251"/>
      <c r="AB224" s="251"/>
      <c r="AC224" s="251"/>
      <c r="AD224" s="252"/>
      <c r="AE224" s="251"/>
      <c r="AF224" s="251"/>
      <c r="AG224" s="251"/>
      <c r="AH224" s="251"/>
    </row>
    <row r="225" spans="1:34" ht="12.75">
      <c r="A225" s="251"/>
      <c r="B225" s="258"/>
      <c r="C225" s="346"/>
      <c r="D225" s="153" t="s">
        <v>104</v>
      </c>
      <c r="E225" s="153" t="s">
        <v>105</v>
      </c>
      <c r="F225" s="153" t="s">
        <v>104</v>
      </c>
      <c r="G225" s="153" t="s">
        <v>105</v>
      </c>
      <c r="H225" s="157" t="s">
        <v>51</v>
      </c>
      <c r="I225" s="157" t="s">
        <v>106</v>
      </c>
      <c r="J225" s="157" t="s">
        <v>50</v>
      </c>
      <c r="K225" s="157" t="s">
        <v>51</v>
      </c>
      <c r="L225" s="157" t="s">
        <v>106</v>
      </c>
      <c r="M225" s="157" t="s">
        <v>50</v>
      </c>
      <c r="N225" s="344" t="s">
        <v>101</v>
      </c>
      <c r="O225" s="343" t="s">
        <v>102</v>
      </c>
      <c r="P225" s="251"/>
      <c r="Q225" s="251"/>
      <c r="R225" s="251"/>
      <c r="S225" s="251"/>
      <c r="T225" s="251"/>
      <c r="U225" s="251"/>
      <c r="V225" s="251"/>
      <c r="W225" s="251"/>
      <c r="X225" s="251"/>
      <c r="Y225" s="251"/>
      <c r="Z225" s="251"/>
      <c r="AA225" s="251"/>
      <c r="AB225" s="251"/>
      <c r="AC225" s="251"/>
      <c r="AD225" s="252"/>
      <c r="AE225" s="251"/>
      <c r="AF225" s="251"/>
      <c r="AG225" s="251"/>
      <c r="AH225" s="251"/>
    </row>
    <row r="226" spans="1:34" ht="12.75">
      <c r="A226" s="251"/>
      <c r="B226" s="258"/>
      <c r="C226" s="347"/>
      <c r="D226" s="157" t="s">
        <v>107</v>
      </c>
      <c r="E226" s="157" t="s">
        <v>107</v>
      </c>
      <c r="F226" s="157" t="s">
        <v>107</v>
      </c>
      <c r="G226" s="157" t="s">
        <v>107</v>
      </c>
      <c r="H226" s="157" t="s">
        <v>0</v>
      </c>
      <c r="I226" s="157" t="s">
        <v>0</v>
      </c>
      <c r="J226" s="157" t="s">
        <v>0</v>
      </c>
      <c r="K226" s="157" t="s">
        <v>0</v>
      </c>
      <c r="L226" s="157" t="s">
        <v>0</v>
      </c>
      <c r="M226" s="157" t="s">
        <v>0</v>
      </c>
      <c r="N226" s="344"/>
      <c r="O226" s="343"/>
      <c r="P226" s="251"/>
      <c r="Q226" s="251"/>
      <c r="R226" s="251"/>
      <c r="S226" s="251"/>
      <c r="T226" s="251"/>
      <c r="U226" s="251"/>
      <c r="V226" s="251"/>
      <c r="W226" s="251"/>
      <c r="X226" s="251"/>
      <c r="Y226" s="251"/>
      <c r="Z226" s="251"/>
      <c r="AA226" s="251"/>
      <c r="AB226" s="251"/>
      <c r="AC226" s="251"/>
      <c r="AD226" s="252"/>
      <c r="AE226" s="251"/>
      <c r="AF226" s="251"/>
      <c r="AG226" s="251"/>
      <c r="AH226" s="251"/>
    </row>
    <row r="227" spans="1:34" ht="12.75">
      <c r="A227" s="251"/>
      <c r="B227" s="258"/>
      <c r="C227" s="164" t="s">
        <v>543</v>
      </c>
      <c r="D227" s="118">
        <v>0.32</v>
      </c>
      <c r="E227" s="118">
        <v>0.219</v>
      </c>
      <c r="F227" s="120"/>
      <c r="G227" s="120"/>
      <c r="H227" s="118">
        <v>195</v>
      </c>
      <c r="I227" s="118">
        <v>240</v>
      </c>
      <c r="J227" s="118">
        <v>240</v>
      </c>
      <c r="K227" s="120"/>
      <c r="L227" s="120"/>
      <c r="M227" s="120"/>
      <c r="N227" s="120">
        <v>9.8</v>
      </c>
      <c r="O227" s="158"/>
      <c r="P227" s="251"/>
      <c r="Q227" s="251"/>
      <c r="R227" s="251"/>
      <c r="S227" s="251"/>
      <c r="T227" s="251"/>
      <c r="U227" s="251"/>
      <c r="V227" s="251"/>
      <c r="W227" s="251"/>
      <c r="X227" s="251"/>
      <c r="Y227" s="251"/>
      <c r="Z227" s="251"/>
      <c r="AA227" s="251"/>
      <c r="AB227" s="251"/>
      <c r="AC227" s="251"/>
      <c r="AD227" s="252"/>
      <c r="AE227" s="251"/>
      <c r="AF227" s="251"/>
      <c r="AG227" s="251"/>
      <c r="AH227" s="251"/>
    </row>
    <row r="228" spans="1:34" ht="12.75">
      <c r="A228" s="251"/>
      <c r="B228" s="258"/>
      <c r="C228" s="164" t="s">
        <v>544</v>
      </c>
      <c r="D228" s="118">
        <v>0.253</v>
      </c>
      <c r="E228" s="118">
        <v>0.218</v>
      </c>
      <c r="F228" s="120"/>
      <c r="G228" s="120"/>
      <c r="H228" s="118">
        <v>220</v>
      </c>
      <c r="I228" s="118">
        <v>280</v>
      </c>
      <c r="J228" s="118">
        <v>280</v>
      </c>
      <c r="K228" s="120"/>
      <c r="L228" s="120"/>
      <c r="M228" s="120"/>
      <c r="N228" s="120">
        <v>12.4</v>
      </c>
      <c r="O228" s="158"/>
      <c r="P228" s="251"/>
      <c r="Q228" s="251"/>
      <c r="R228" s="251"/>
      <c r="S228" s="251"/>
      <c r="T228" s="251"/>
      <c r="U228" s="251"/>
      <c r="V228" s="251"/>
      <c r="W228" s="251"/>
      <c r="X228" s="251"/>
      <c r="Y228" s="251"/>
      <c r="Z228" s="251"/>
      <c r="AA228" s="251"/>
      <c r="AB228" s="251"/>
      <c r="AC228" s="251"/>
      <c r="AD228" s="252"/>
      <c r="AE228" s="251"/>
      <c r="AF228" s="251"/>
      <c r="AG228" s="251"/>
      <c r="AH228" s="251"/>
    </row>
    <row r="229" spans="1:34" ht="12.75">
      <c r="A229" s="251"/>
      <c r="B229" s="258"/>
      <c r="C229" s="164" t="s">
        <v>255</v>
      </c>
      <c r="D229" s="118">
        <v>0.206</v>
      </c>
      <c r="E229" s="118">
        <v>0.217</v>
      </c>
      <c r="F229" s="120"/>
      <c r="G229" s="120"/>
      <c r="H229" s="118">
        <v>240</v>
      </c>
      <c r="I229" s="118">
        <v>335</v>
      </c>
      <c r="J229" s="118">
        <v>335</v>
      </c>
      <c r="K229" s="120"/>
      <c r="L229" s="120"/>
      <c r="M229" s="120"/>
      <c r="N229" s="120">
        <v>15.5</v>
      </c>
      <c r="O229" s="158"/>
      <c r="P229" s="251"/>
      <c r="Q229" s="251"/>
      <c r="R229" s="251"/>
      <c r="S229" s="251"/>
      <c r="T229" s="251"/>
      <c r="U229" s="251"/>
      <c r="V229" s="251"/>
      <c r="W229" s="251"/>
      <c r="X229" s="251"/>
      <c r="Y229" s="251"/>
      <c r="Z229" s="251"/>
      <c r="AA229" s="251"/>
      <c r="AB229" s="251"/>
      <c r="AC229" s="251"/>
      <c r="AD229" s="252"/>
      <c r="AE229" s="251"/>
      <c r="AF229" s="251"/>
      <c r="AG229" s="251"/>
      <c r="AH229" s="251"/>
    </row>
    <row r="230" spans="1:34" ht="12.75">
      <c r="A230" s="251"/>
      <c r="B230" s="258"/>
      <c r="C230" s="164" t="s">
        <v>264</v>
      </c>
      <c r="D230" s="118">
        <v>0.164</v>
      </c>
      <c r="E230" s="118">
        <v>0.215</v>
      </c>
      <c r="F230" s="120"/>
      <c r="G230" s="120"/>
      <c r="H230" s="118">
        <v>275</v>
      </c>
      <c r="I230" s="118">
        <v>380</v>
      </c>
      <c r="J230" s="118">
        <v>380</v>
      </c>
      <c r="K230" s="120"/>
      <c r="L230" s="120"/>
      <c r="M230" s="120"/>
      <c r="N230" s="120">
        <v>19.2</v>
      </c>
      <c r="O230" s="158"/>
      <c r="P230" s="251"/>
      <c r="Q230" s="251"/>
      <c r="R230" s="251"/>
      <c r="S230" s="251"/>
      <c r="T230" s="251"/>
      <c r="U230" s="251"/>
      <c r="V230" s="251"/>
      <c r="W230" s="251"/>
      <c r="X230" s="251"/>
      <c r="Y230" s="251"/>
      <c r="Z230" s="251"/>
      <c r="AA230" s="251"/>
      <c r="AB230" s="251"/>
      <c r="AC230" s="251"/>
      <c r="AD230" s="252"/>
      <c r="AE230" s="251"/>
      <c r="AF230" s="251"/>
      <c r="AG230" s="251"/>
      <c r="AH230" s="251"/>
    </row>
    <row r="231" spans="1:34" ht="12.75">
      <c r="A231" s="251"/>
      <c r="B231" s="258"/>
      <c r="C231" s="164" t="s">
        <v>276</v>
      </c>
      <c r="D231" s="118">
        <v>0.125</v>
      </c>
      <c r="E231" s="118">
        <v>0.2</v>
      </c>
      <c r="F231" s="120"/>
      <c r="G231" s="120"/>
      <c r="H231" s="118">
        <v>320</v>
      </c>
      <c r="I231" s="118">
        <v>450</v>
      </c>
      <c r="J231" s="118">
        <v>450</v>
      </c>
      <c r="K231" s="120"/>
      <c r="L231" s="120"/>
      <c r="M231" s="120"/>
      <c r="N231" s="120">
        <v>24.8</v>
      </c>
      <c r="O231" s="158"/>
      <c r="P231" s="251"/>
      <c r="Q231" s="251"/>
      <c r="R231" s="251"/>
      <c r="S231" s="251"/>
      <c r="T231" s="251"/>
      <c r="U231" s="251"/>
      <c r="V231" s="251"/>
      <c r="W231" s="251"/>
      <c r="X231" s="251"/>
      <c r="Y231" s="251"/>
      <c r="Z231" s="251"/>
      <c r="AA231" s="251"/>
      <c r="AB231" s="251"/>
      <c r="AC231" s="251"/>
      <c r="AD231" s="252"/>
      <c r="AE231" s="251"/>
      <c r="AF231" s="251"/>
      <c r="AG231" s="251"/>
      <c r="AH231" s="251"/>
    </row>
    <row r="232" spans="1:34" ht="12.75">
      <c r="A232" s="251"/>
      <c r="B232" s="258"/>
      <c r="C232" s="164" t="s">
        <v>288</v>
      </c>
      <c r="D232" s="118">
        <v>0.1</v>
      </c>
      <c r="E232" s="118">
        <v>0.19</v>
      </c>
      <c r="F232" s="120"/>
      <c r="G232" s="120"/>
      <c r="H232" s="118">
        <v>360</v>
      </c>
      <c r="I232" s="118">
        <v>510</v>
      </c>
      <c r="J232" s="118">
        <v>510</v>
      </c>
      <c r="K232" s="120"/>
      <c r="L232" s="120"/>
      <c r="M232" s="120"/>
      <c r="N232" s="120">
        <v>31.1</v>
      </c>
      <c r="O232" s="158"/>
      <c r="P232" s="251"/>
      <c r="Q232" s="251"/>
      <c r="R232" s="251"/>
      <c r="S232" s="251"/>
      <c r="T232" s="251"/>
      <c r="U232" s="251"/>
      <c r="V232" s="251"/>
      <c r="W232" s="251"/>
      <c r="X232" s="251"/>
      <c r="Y232" s="251"/>
      <c r="Z232" s="251"/>
      <c r="AA232" s="251"/>
      <c r="AB232" s="251"/>
      <c r="AC232" s="251"/>
      <c r="AD232" s="252"/>
      <c r="AE232" s="251"/>
      <c r="AF232" s="251"/>
      <c r="AG232" s="251"/>
      <c r="AH232" s="251"/>
    </row>
    <row r="233" spans="1:34" ht="12.75">
      <c r="A233" s="251"/>
      <c r="B233" s="258"/>
      <c r="C233" s="164" t="s">
        <v>300</v>
      </c>
      <c r="D233" s="118">
        <v>0.778</v>
      </c>
      <c r="E233" s="118">
        <v>0.181</v>
      </c>
      <c r="F233" s="120"/>
      <c r="G233" s="120"/>
      <c r="H233" s="118">
        <v>410</v>
      </c>
      <c r="I233" s="118">
        <v>595</v>
      </c>
      <c r="J233" s="118">
        <v>595</v>
      </c>
      <c r="K233" s="120"/>
      <c r="L233" s="120"/>
      <c r="M233" s="120"/>
      <c r="N233" s="120">
        <v>41.4</v>
      </c>
      <c r="O233" s="158"/>
      <c r="P233" s="251"/>
      <c r="Q233" s="251"/>
      <c r="R233" s="251"/>
      <c r="S233" s="251"/>
      <c r="T233" s="251"/>
      <c r="U233" s="251"/>
      <c r="V233" s="251"/>
      <c r="W233" s="251"/>
      <c r="X233" s="251"/>
      <c r="Y233" s="251"/>
      <c r="Z233" s="251"/>
      <c r="AA233" s="251"/>
      <c r="AB233" s="251"/>
      <c r="AC233" s="251"/>
      <c r="AD233" s="252"/>
      <c r="AE233" s="251"/>
      <c r="AF233" s="251"/>
      <c r="AG233" s="251"/>
      <c r="AH233" s="251"/>
    </row>
    <row r="234" spans="1:34" ht="12.75">
      <c r="A234" s="251"/>
      <c r="B234" s="258"/>
      <c r="C234" s="164" t="s">
        <v>312</v>
      </c>
      <c r="D234" s="118">
        <v>0.0605</v>
      </c>
      <c r="E234" s="118">
        <v>0.183</v>
      </c>
      <c r="F234" s="120"/>
      <c r="G234" s="120"/>
      <c r="H234" s="118">
        <v>460</v>
      </c>
      <c r="I234" s="118">
        <v>690</v>
      </c>
      <c r="J234" s="118">
        <v>690</v>
      </c>
      <c r="K234" s="120"/>
      <c r="L234" s="120"/>
      <c r="M234" s="120"/>
      <c r="N234" s="120">
        <v>51.8</v>
      </c>
      <c r="O234" s="158"/>
      <c r="P234" s="251"/>
      <c r="Q234" s="251"/>
      <c r="R234" s="251"/>
      <c r="S234" s="251"/>
      <c r="T234" s="251"/>
      <c r="U234" s="251"/>
      <c r="V234" s="251"/>
      <c r="W234" s="251"/>
      <c r="X234" s="251"/>
      <c r="Y234" s="251"/>
      <c r="Z234" s="251"/>
      <c r="AA234" s="251"/>
      <c r="AB234" s="251"/>
      <c r="AC234" s="251"/>
      <c r="AD234" s="252"/>
      <c r="AE234" s="251"/>
      <c r="AF234" s="251"/>
      <c r="AG234" s="251"/>
      <c r="AH234" s="251"/>
    </row>
    <row r="235" spans="1:34" ht="12.75">
      <c r="A235" s="251"/>
      <c r="B235" s="258"/>
      <c r="C235" s="164" t="s">
        <v>323</v>
      </c>
      <c r="D235" s="118">
        <v>0.0469</v>
      </c>
      <c r="E235" s="118">
        <v>0.183</v>
      </c>
      <c r="F235" s="120"/>
      <c r="G235" s="120"/>
      <c r="H235" s="118">
        <v>525</v>
      </c>
      <c r="I235" s="118">
        <v>800</v>
      </c>
      <c r="J235" s="118">
        <v>800</v>
      </c>
      <c r="K235" s="120"/>
      <c r="L235" s="120"/>
      <c r="M235" s="120"/>
      <c r="N235" s="120">
        <v>65.2</v>
      </c>
      <c r="O235" s="158"/>
      <c r="P235" s="251"/>
      <c r="Q235" s="251"/>
      <c r="R235" s="251"/>
      <c r="S235" s="251"/>
      <c r="T235" s="251"/>
      <c r="U235" s="251"/>
      <c r="V235" s="251"/>
      <c r="W235" s="251"/>
      <c r="X235" s="251"/>
      <c r="Y235" s="251"/>
      <c r="Z235" s="251"/>
      <c r="AA235" s="251"/>
      <c r="AB235" s="251"/>
      <c r="AC235" s="251"/>
      <c r="AD235" s="252"/>
      <c r="AE235" s="251"/>
      <c r="AF235" s="251"/>
      <c r="AG235" s="251"/>
      <c r="AH235" s="251"/>
    </row>
    <row r="236" spans="1:34" ht="12.75">
      <c r="A236" s="251"/>
      <c r="B236" s="258"/>
      <c r="C236" s="164" t="s">
        <v>335</v>
      </c>
      <c r="D236" s="118">
        <v>0.0367</v>
      </c>
      <c r="E236" s="118">
        <v>0.183</v>
      </c>
      <c r="F236" s="120"/>
      <c r="G236" s="120"/>
      <c r="H236" s="118">
        <v>590</v>
      </c>
      <c r="I236" s="118">
        <v>910</v>
      </c>
      <c r="J236" s="118">
        <v>910</v>
      </c>
      <c r="K236" s="120"/>
      <c r="L236" s="120"/>
      <c r="M236" s="120"/>
      <c r="N236" s="120">
        <v>82.8</v>
      </c>
      <c r="O236" s="158"/>
      <c r="P236" s="251"/>
      <c r="Q236" s="251"/>
      <c r="R236" s="251"/>
      <c r="S236" s="251"/>
      <c r="T236" s="251"/>
      <c r="U236" s="251"/>
      <c r="V236" s="251"/>
      <c r="W236" s="251"/>
      <c r="X236" s="251"/>
      <c r="Y236" s="251"/>
      <c r="Z236" s="251"/>
      <c r="AA236" s="251"/>
      <c r="AB236" s="251"/>
      <c r="AC236" s="251"/>
      <c r="AD236" s="252"/>
      <c r="AE236" s="251"/>
      <c r="AF236" s="251"/>
      <c r="AG236" s="251"/>
      <c r="AH236" s="251"/>
    </row>
    <row r="237" spans="1:34" ht="13.5" thickBot="1">
      <c r="A237" s="251"/>
      <c r="B237" s="258"/>
      <c r="C237" s="165" t="s">
        <v>346</v>
      </c>
      <c r="D237" s="159">
        <v>0.0291</v>
      </c>
      <c r="E237" s="159">
        <v>0.183</v>
      </c>
      <c r="F237" s="160"/>
      <c r="G237" s="160"/>
      <c r="H237" s="159">
        <v>650</v>
      </c>
      <c r="I237" s="159">
        <v>1010</v>
      </c>
      <c r="J237" s="159">
        <v>1010</v>
      </c>
      <c r="K237" s="160"/>
      <c r="L237" s="160"/>
      <c r="M237" s="160"/>
      <c r="N237" s="160">
        <v>104</v>
      </c>
      <c r="O237" s="161"/>
      <c r="P237" s="251"/>
      <c r="Q237" s="251"/>
      <c r="R237" s="251"/>
      <c r="S237" s="251"/>
      <c r="T237" s="251"/>
      <c r="U237" s="251"/>
      <c r="V237" s="251"/>
      <c r="W237" s="251"/>
      <c r="X237" s="251"/>
      <c r="Y237" s="251"/>
      <c r="Z237" s="251"/>
      <c r="AA237" s="251"/>
      <c r="AB237" s="251"/>
      <c r="AC237" s="251"/>
      <c r="AD237" s="252"/>
      <c r="AE237" s="251"/>
      <c r="AF237" s="251"/>
      <c r="AG237" s="251"/>
      <c r="AH237" s="251"/>
    </row>
    <row r="238" spans="1:34" ht="13.5" thickBot="1">
      <c r="A238" s="251"/>
      <c r="B238" s="256"/>
      <c r="C238" s="253"/>
      <c r="D238" s="253"/>
      <c r="E238" s="253"/>
      <c r="F238" s="253"/>
      <c r="G238" s="253"/>
      <c r="H238" s="253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253"/>
      <c r="T238" s="253"/>
      <c r="U238" s="253"/>
      <c r="V238" s="253"/>
      <c r="W238" s="253"/>
      <c r="X238" s="253"/>
      <c r="Y238" s="253"/>
      <c r="Z238" s="253"/>
      <c r="AA238" s="253"/>
      <c r="AB238" s="253"/>
      <c r="AC238" s="253"/>
      <c r="AD238" s="254"/>
      <c r="AE238" s="251"/>
      <c r="AF238" s="251"/>
      <c r="AG238" s="251"/>
      <c r="AH238" s="251"/>
    </row>
    <row r="239" spans="1:34" ht="13.5" thickTop="1">
      <c r="A239" s="251"/>
      <c r="B239" s="251"/>
      <c r="C239" s="251"/>
      <c r="D239" s="251"/>
      <c r="E239" s="251"/>
      <c r="F239" s="251"/>
      <c r="G239" s="251"/>
      <c r="H239" s="251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251"/>
      <c r="T239" s="251"/>
      <c r="U239" s="251"/>
      <c r="V239" s="251"/>
      <c r="W239" s="251"/>
      <c r="X239" s="251"/>
      <c r="Y239" s="251"/>
      <c r="Z239" s="251"/>
      <c r="AA239" s="251"/>
      <c r="AB239" s="251"/>
      <c r="AC239" s="251"/>
      <c r="AD239" s="251"/>
      <c r="AE239" s="251"/>
      <c r="AF239" s="251"/>
      <c r="AG239" s="251"/>
      <c r="AH239" s="251"/>
    </row>
    <row r="240" spans="1:34" ht="12.75">
      <c r="A240" s="251"/>
      <c r="B240" s="251"/>
      <c r="C240" s="251"/>
      <c r="D240" s="251"/>
      <c r="E240" s="251"/>
      <c r="F240" s="251"/>
      <c r="G240" s="251"/>
      <c r="H240" s="251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251"/>
      <c r="T240" s="251"/>
      <c r="U240" s="251"/>
      <c r="V240" s="251"/>
      <c r="W240" s="251"/>
      <c r="X240" s="251"/>
      <c r="Y240" s="251"/>
      <c r="Z240" s="251"/>
      <c r="AA240" s="251"/>
      <c r="AB240" s="251"/>
      <c r="AC240" s="251"/>
      <c r="AD240" s="251"/>
      <c r="AE240" s="251"/>
      <c r="AF240" s="251"/>
      <c r="AG240" s="251"/>
      <c r="AH240" s="251"/>
    </row>
    <row r="241" spans="1:34" ht="12.75">
      <c r="A241" s="251"/>
      <c r="B241" s="251"/>
      <c r="C241" s="251"/>
      <c r="D241" s="251"/>
      <c r="E241" s="251"/>
      <c r="F241" s="251"/>
      <c r="G241" s="251"/>
      <c r="H241" s="251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251"/>
      <c r="T241" s="251"/>
      <c r="U241" s="251"/>
      <c r="V241" s="251"/>
      <c r="W241" s="251"/>
      <c r="X241" s="251"/>
      <c r="Y241" s="251"/>
      <c r="Z241" s="251"/>
      <c r="AA241" s="251"/>
      <c r="AB241" s="251"/>
      <c r="AC241" s="251"/>
      <c r="AD241" s="251"/>
      <c r="AE241" s="251"/>
      <c r="AF241" s="251"/>
      <c r="AG241" s="251"/>
      <c r="AH241" s="251"/>
    </row>
    <row r="242" spans="1:34" ht="12.75">
      <c r="A242" s="251"/>
      <c r="B242" s="251"/>
      <c r="C242" s="251"/>
      <c r="D242" s="251"/>
      <c r="E242" s="251"/>
      <c r="F242" s="251"/>
      <c r="G242" s="251"/>
      <c r="H242" s="251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251"/>
      <c r="T242" s="251"/>
      <c r="U242" s="251"/>
      <c r="V242" s="251"/>
      <c r="W242" s="251"/>
      <c r="X242" s="251"/>
      <c r="Y242" s="251"/>
      <c r="Z242" s="251"/>
      <c r="AA242" s="251"/>
      <c r="AB242" s="251"/>
      <c r="AC242" s="251"/>
      <c r="AD242" s="251"/>
      <c r="AE242" s="251"/>
      <c r="AF242" s="251"/>
      <c r="AG242" s="251"/>
      <c r="AH242" s="251"/>
    </row>
    <row r="243" spans="1:34" ht="12.75">
      <c r="A243" s="251"/>
      <c r="B243" s="251"/>
      <c r="C243" s="251"/>
      <c r="D243" s="251"/>
      <c r="E243" s="251"/>
      <c r="F243" s="251"/>
      <c r="G243" s="251"/>
      <c r="H243" s="251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251"/>
      <c r="T243" s="251"/>
      <c r="U243" s="251"/>
      <c r="V243" s="251"/>
      <c r="W243" s="251"/>
      <c r="X243" s="251"/>
      <c r="Y243" s="251"/>
      <c r="Z243" s="251"/>
      <c r="AA243" s="251"/>
      <c r="AB243" s="251"/>
      <c r="AC243" s="251"/>
      <c r="AD243" s="251"/>
      <c r="AE243" s="251"/>
      <c r="AF243" s="251"/>
      <c r="AG243" s="251"/>
      <c r="AH243" s="251"/>
    </row>
    <row r="244" spans="1:34" ht="12.75">
      <c r="A244" s="251"/>
      <c r="B244" s="251"/>
      <c r="C244" s="251"/>
      <c r="D244" s="251"/>
      <c r="E244" s="251"/>
      <c r="F244" s="251"/>
      <c r="G244" s="251"/>
      <c r="H244" s="251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251"/>
      <c r="T244" s="251"/>
      <c r="U244" s="251"/>
      <c r="V244" s="251"/>
      <c r="W244" s="251"/>
      <c r="X244" s="251"/>
      <c r="Y244" s="251"/>
      <c r="Z244" s="251"/>
      <c r="AA244" s="251"/>
      <c r="AB244" s="251"/>
      <c r="AC244" s="251"/>
      <c r="AD244" s="251"/>
      <c r="AE244" s="251"/>
      <c r="AF244" s="251"/>
      <c r="AG244" s="251"/>
      <c r="AH244" s="251"/>
    </row>
    <row r="245" spans="1:34" ht="12.75">
      <c r="A245" s="251"/>
      <c r="B245" s="251"/>
      <c r="C245" s="251"/>
      <c r="D245" s="251"/>
      <c r="E245" s="251"/>
      <c r="F245" s="251"/>
      <c r="G245" s="251"/>
      <c r="H245" s="251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251"/>
      <c r="T245" s="251"/>
      <c r="U245" s="251"/>
      <c r="V245" s="251"/>
      <c r="W245" s="251"/>
      <c r="X245" s="251"/>
      <c r="Y245" s="251"/>
      <c r="Z245" s="251"/>
      <c r="AA245" s="251"/>
      <c r="AB245" s="251"/>
      <c r="AC245" s="251"/>
      <c r="AD245" s="251"/>
      <c r="AE245" s="251"/>
      <c r="AF245" s="251"/>
      <c r="AG245" s="251"/>
      <c r="AH245" s="251"/>
    </row>
    <row r="246" spans="1:34" ht="12.75">
      <c r="A246" s="251"/>
      <c r="B246" s="251"/>
      <c r="C246" s="251"/>
      <c r="D246" s="251"/>
      <c r="E246" s="251"/>
      <c r="F246" s="251"/>
      <c r="G246" s="251"/>
      <c r="H246" s="251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251"/>
      <c r="T246" s="251"/>
      <c r="U246" s="251"/>
      <c r="V246" s="251"/>
      <c r="W246" s="251"/>
      <c r="X246" s="251"/>
      <c r="Y246" s="251"/>
      <c r="Z246" s="251"/>
      <c r="AA246" s="251"/>
      <c r="AB246" s="251"/>
      <c r="AC246" s="251"/>
      <c r="AD246" s="251"/>
      <c r="AE246" s="251"/>
      <c r="AF246" s="251"/>
      <c r="AG246" s="251"/>
      <c r="AH246" s="251"/>
    </row>
    <row r="247" spans="1:34" ht="12.75">
      <c r="A247" s="251"/>
      <c r="B247" s="251"/>
      <c r="C247" s="251"/>
      <c r="D247" s="251"/>
      <c r="E247" s="251"/>
      <c r="F247" s="251"/>
      <c r="G247" s="251"/>
      <c r="H247" s="251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251"/>
      <c r="T247" s="251"/>
      <c r="U247" s="251"/>
      <c r="V247" s="251"/>
      <c r="W247" s="251"/>
      <c r="X247" s="251"/>
      <c r="Y247" s="251"/>
      <c r="Z247" s="251"/>
      <c r="AA247" s="251"/>
      <c r="AB247" s="251"/>
      <c r="AC247" s="251"/>
      <c r="AD247" s="251"/>
      <c r="AE247" s="251"/>
      <c r="AF247" s="251"/>
      <c r="AG247" s="251"/>
      <c r="AH247" s="251"/>
    </row>
    <row r="248" spans="1:34" ht="12.75">
      <c r="A248" s="251"/>
      <c r="B248" s="251"/>
      <c r="C248" s="251"/>
      <c r="D248" s="251"/>
      <c r="E248" s="251"/>
      <c r="F248" s="251"/>
      <c r="G248" s="251"/>
      <c r="H248" s="251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251"/>
      <c r="T248" s="251"/>
      <c r="U248" s="251"/>
      <c r="V248" s="251"/>
      <c r="W248" s="251"/>
      <c r="X248" s="251"/>
      <c r="Y248" s="251"/>
      <c r="Z248" s="251"/>
      <c r="AA248" s="251"/>
      <c r="AB248" s="251"/>
      <c r="AC248" s="251"/>
      <c r="AD248" s="251"/>
      <c r="AE248" s="251"/>
      <c r="AF248" s="251"/>
      <c r="AG248" s="251"/>
      <c r="AH248" s="251"/>
    </row>
    <row r="249" spans="1:34" ht="12.75">
      <c r="A249" s="251"/>
      <c r="B249" s="251"/>
      <c r="C249" s="251"/>
      <c r="D249" s="251"/>
      <c r="E249" s="251"/>
      <c r="F249" s="251"/>
      <c r="G249" s="251"/>
      <c r="H249" s="251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251"/>
      <c r="T249" s="251"/>
      <c r="U249" s="251"/>
      <c r="V249" s="251"/>
      <c r="W249" s="251"/>
      <c r="X249" s="251"/>
      <c r="Y249" s="251"/>
      <c r="Z249" s="251"/>
      <c r="AA249" s="251"/>
      <c r="AB249" s="251"/>
      <c r="AC249" s="251"/>
      <c r="AD249" s="251"/>
      <c r="AE249" s="251"/>
      <c r="AF249" s="251"/>
      <c r="AG249" s="251"/>
      <c r="AH249" s="251"/>
    </row>
    <row r="250" spans="1:34" ht="12.75">
      <c r="A250" s="251"/>
      <c r="B250" s="251"/>
      <c r="C250" s="251"/>
      <c r="D250" s="251"/>
      <c r="E250" s="251"/>
      <c r="F250" s="251"/>
      <c r="G250" s="251"/>
      <c r="H250" s="251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251"/>
      <c r="T250" s="251"/>
      <c r="U250" s="251"/>
      <c r="V250" s="251"/>
      <c r="W250" s="251"/>
      <c r="X250" s="251"/>
      <c r="Y250" s="251"/>
      <c r="Z250" s="251"/>
      <c r="AA250" s="251"/>
      <c r="AB250" s="251"/>
      <c r="AC250" s="251"/>
      <c r="AD250" s="251"/>
      <c r="AE250" s="251"/>
      <c r="AF250" s="251"/>
      <c r="AG250" s="251"/>
      <c r="AH250" s="251"/>
    </row>
    <row r="251" spans="1:34" ht="12.75">
      <c r="A251" s="251"/>
      <c r="B251" s="251"/>
      <c r="C251" s="251"/>
      <c r="D251" s="251"/>
      <c r="E251" s="251"/>
      <c r="F251" s="251"/>
      <c r="G251" s="251"/>
      <c r="H251" s="251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251"/>
      <c r="T251" s="251"/>
      <c r="U251" s="251"/>
      <c r="V251" s="251"/>
      <c r="W251" s="251"/>
      <c r="X251" s="251"/>
      <c r="Y251" s="251"/>
      <c r="Z251" s="251"/>
      <c r="AA251" s="251"/>
      <c r="AB251" s="251"/>
      <c r="AC251" s="251"/>
      <c r="AD251" s="251"/>
      <c r="AE251" s="251"/>
      <c r="AF251" s="251"/>
      <c r="AG251" s="251"/>
      <c r="AH251" s="251"/>
    </row>
    <row r="252" spans="1:34" ht="12.75">
      <c r="A252" s="251"/>
      <c r="B252" s="251"/>
      <c r="C252" s="251"/>
      <c r="D252" s="251"/>
      <c r="E252" s="251"/>
      <c r="F252" s="251"/>
      <c r="G252" s="251"/>
      <c r="H252" s="251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251"/>
      <c r="T252" s="251"/>
      <c r="U252" s="251"/>
      <c r="V252" s="251"/>
      <c r="W252" s="251"/>
      <c r="X252" s="251"/>
      <c r="Y252" s="251"/>
      <c r="Z252" s="251"/>
      <c r="AA252" s="251"/>
      <c r="AB252" s="251"/>
      <c r="AC252" s="251"/>
      <c r="AD252" s="251"/>
      <c r="AE252" s="251"/>
      <c r="AF252" s="251"/>
      <c r="AG252" s="251"/>
      <c r="AH252" s="251"/>
    </row>
    <row r="253" spans="1:34" ht="12.75">
      <c r="A253" s="251"/>
      <c r="B253" s="251"/>
      <c r="C253" s="251"/>
      <c r="D253" s="251"/>
      <c r="E253" s="251"/>
      <c r="F253" s="251"/>
      <c r="G253" s="251"/>
      <c r="H253" s="251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251"/>
      <c r="T253" s="251"/>
      <c r="U253" s="251"/>
      <c r="V253" s="251"/>
      <c r="W253" s="251"/>
      <c r="X253" s="251"/>
      <c r="Y253" s="251"/>
      <c r="Z253" s="251"/>
      <c r="AA253" s="251"/>
      <c r="AB253" s="251"/>
      <c r="AC253" s="251"/>
      <c r="AD253" s="251"/>
      <c r="AE253" s="251"/>
      <c r="AF253" s="251"/>
      <c r="AG253" s="251"/>
      <c r="AH253" s="251"/>
    </row>
    <row r="254" spans="1:34" ht="12.75">
      <c r="A254" s="251"/>
      <c r="B254" s="251"/>
      <c r="C254" s="251"/>
      <c r="D254" s="251"/>
      <c r="E254" s="251"/>
      <c r="F254" s="251"/>
      <c r="G254" s="251"/>
      <c r="H254" s="251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251"/>
      <c r="T254" s="251"/>
      <c r="U254" s="251"/>
      <c r="V254" s="251"/>
      <c r="W254" s="251"/>
      <c r="X254" s="251"/>
      <c r="Y254" s="251"/>
      <c r="Z254" s="251"/>
      <c r="AA254" s="251"/>
      <c r="AB254" s="251"/>
      <c r="AC254" s="251"/>
      <c r="AD254" s="251"/>
      <c r="AE254" s="251"/>
      <c r="AF254" s="251"/>
      <c r="AG254" s="251"/>
      <c r="AH254" s="251"/>
    </row>
    <row r="255" spans="1:34" ht="12.75">
      <c r="A255" s="251"/>
      <c r="B255" s="251"/>
      <c r="C255" s="251"/>
      <c r="D255" s="251"/>
      <c r="E255" s="251"/>
      <c r="F255" s="251"/>
      <c r="G255" s="251"/>
      <c r="H255" s="251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251"/>
      <c r="T255" s="251"/>
      <c r="U255" s="251"/>
      <c r="V255" s="251"/>
      <c r="W255" s="251"/>
      <c r="X255" s="251"/>
      <c r="Y255" s="251"/>
      <c r="Z255" s="251"/>
      <c r="AA255" s="251"/>
      <c r="AB255" s="251"/>
      <c r="AC255" s="251"/>
      <c r="AD255" s="251"/>
      <c r="AE255" s="251"/>
      <c r="AF255" s="251"/>
      <c r="AG255" s="251"/>
      <c r="AH255" s="251"/>
    </row>
    <row r="256" spans="1:34" ht="12.75">
      <c r="A256" s="251"/>
      <c r="B256" s="251"/>
      <c r="C256" s="251"/>
      <c r="D256" s="251"/>
      <c r="E256" s="251"/>
      <c r="F256" s="251"/>
      <c r="G256" s="251"/>
      <c r="H256" s="251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251"/>
      <c r="T256" s="251"/>
      <c r="U256" s="251"/>
      <c r="V256" s="251"/>
      <c r="W256" s="251"/>
      <c r="X256" s="251"/>
      <c r="Y256" s="251"/>
      <c r="Z256" s="251"/>
      <c r="AA256" s="251"/>
      <c r="AB256" s="251"/>
      <c r="AC256" s="251"/>
      <c r="AD256" s="251"/>
      <c r="AE256" s="251"/>
      <c r="AF256" s="251"/>
      <c r="AG256" s="251"/>
      <c r="AH256" s="251"/>
    </row>
    <row r="257" spans="1:34" ht="12.75">
      <c r="A257" s="251"/>
      <c r="B257" s="251"/>
      <c r="C257" s="251"/>
      <c r="D257" s="251"/>
      <c r="E257" s="251"/>
      <c r="F257" s="251"/>
      <c r="G257" s="251"/>
      <c r="H257" s="251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251"/>
      <c r="T257" s="251"/>
      <c r="U257" s="251"/>
      <c r="V257" s="251"/>
      <c r="W257" s="251"/>
      <c r="X257" s="251"/>
      <c r="Y257" s="251"/>
      <c r="Z257" s="251"/>
      <c r="AA257" s="251"/>
      <c r="AB257" s="251"/>
      <c r="AC257" s="251"/>
      <c r="AD257" s="251"/>
      <c r="AE257" s="251"/>
      <c r="AF257" s="251"/>
      <c r="AG257" s="251"/>
      <c r="AH257" s="251"/>
    </row>
  </sheetData>
  <sheetProtection password="CE28" sheet="1" objects="1" formatCells="0" formatColumns="0" formatRows="0" autoFilter="0"/>
  <mergeCells count="56">
    <mergeCell ref="C5:H5"/>
    <mergeCell ref="T36:U36"/>
    <mergeCell ref="V36:X36"/>
    <mergeCell ref="Y36:AA36"/>
    <mergeCell ref="AB36:AC36"/>
    <mergeCell ref="C3:K3"/>
    <mergeCell ref="D36:E36"/>
    <mergeCell ref="F36:G36"/>
    <mergeCell ref="H36:J36"/>
    <mergeCell ref="K36:M36"/>
    <mergeCell ref="D162:E162"/>
    <mergeCell ref="F162:G162"/>
    <mergeCell ref="H162:J162"/>
    <mergeCell ref="K162:M162"/>
    <mergeCell ref="N162:O162"/>
    <mergeCell ref="C130:O130"/>
    <mergeCell ref="C131:C133"/>
    <mergeCell ref="F131:G131"/>
    <mergeCell ref="H131:J131"/>
    <mergeCell ref="K131:M131"/>
    <mergeCell ref="H193:J193"/>
    <mergeCell ref="K193:M193"/>
    <mergeCell ref="N193:O193"/>
    <mergeCell ref="R36:S36"/>
    <mergeCell ref="N37:N38"/>
    <mergeCell ref="O37:O38"/>
    <mergeCell ref="N36:O36"/>
    <mergeCell ref="N131:O131"/>
    <mergeCell ref="N132:N133"/>
    <mergeCell ref="Q36:Q38"/>
    <mergeCell ref="N194:N195"/>
    <mergeCell ref="O194:O195"/>
    <mergeCell ref="C162:C164"/>
    <mergeCell ref="C161:O161"/>
    <mergeCell ref="C193:C195"/>
    <mergeCell ref="C192:O192"/>
    <mergeCell ref="N163:N164"/>
    <mergeCell ref="O163:O164"/>
    <mergeCell ref="D193:E193"/>
    <mergeCell ref="F193:G193"/>
    <mergeCell ref="C224:C226"/>
    <mergeCell ref="C223:O223"/>
    <mergeCell ref="D224:E224"/>
    <mergeCell ref="F224:G224"/>
    <mergeCell ref="H224:J224"/>
    <mergeCell ref="K224:M224"/>
    <mergeCell ref="N224:O224"/>
    <mergeCell ref="N225:N226"/>
    <mergeCell ref="O225:O226"/>
    <mergeCell ref="C36:C38"/>
    <mergeCell ref="C35:O35"/>
    <mergeCell ref="Q35:AC35"/>
    <mergeCell ref="O132:O133"/>
    <mergeCell ref="AB37:AB38"/>
    <mergeCell ref="AC37:AC38"/>
    <mergeCell ref="D131:E13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8515625" style="131" customWidth="1"/>
    <col min="2" max="2" width="14.57421875" style="131" customWidth="1"/>
    <col min="3" max="3" width="15.7109375" style="131" customWidth="1"/>
    <col min="4" max="4" width="10.57421875" style="131" customWidth="1"/>
    <col min="5" max="5" width="1.28515625" style="131" customWidth="1"/>
    <col min="6" max="7" width="9.140625" style="131" customWidth="1"/>
    <col min="8" max="8" width="11.28125" style="131" customWidth="1"/>
    <col min="9" max="9" width="1.57421875" style="131" customWidth="1"/>
    <col min="10" max="10" width="16.7109375" style="131" customWidth="1"/>
    <col min="11" max="11" width="13.28125" style="131" customWidth="1"/>
    <col min="12" max="12" width="0.85546875" style="131" customWidth="1"/>
    <col min="13" max="13" width="11.28125" style="131" customWidth="1"/>
    <col min="14" max="14" width="7.140625" style="131" customWidth="1"/>
    <col min="15" max="15" width="21.421875" style="131" customWidth="1"/>
    <col min="16" max="18" width="9.140625" style="131" customWidth="1"/>
    <col min="19" max="19" width="7.00390625" style="131" customWidth="1"/>
    <col min="20" max="20" width="12.140625" style="131" customWidth="1"/>
    <col min="21" max="16384" width="9.140625" style="131" customWidth="1"/>
  </cols>
  <sheetData>
    <row r="1" spans="1:39" ht="13.5" thickBot="1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</row>
    <row r="2" spans="1:39" ht="21.75" customHeight="1" thickBot="1">
      <c r="A2" s="299"/>
      <c r="B2" s="367" t="s">
        <v>558</v>
      </c>
      <c r="C2" s="368"/>
      <c r="D2" s="368"/>
      <c r="E2" s="368"/>
      <c r="F2" s="368"/>
      <c r="G2" s="36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</row>
    <row r="3" spans="1:39" ht="13.5" thickBo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</row>
    <row r="4" spans="1:39" s="298" customFormat="1" ht="13.5" customHeight="1" thickBot="1">
      <c r="A4" s="300"/>
      <c r="B4" s="357" t="s">
        <v>550</v>
      </c>
      <c r="C4" s="358"/>
      <c r="D4" s="359"/>
      <c r="E4" s="300"/>
      <c r="F4" s="357" t="s">
        <v>28</v>
      </c>
      <c r="G4" s="358"/>
      <c r="H4" s="359"/>
      <c r="I4" s="300"/>
      <c r="J4" s="360" t="s">
        <v>555</v>
      </c>
      <c r="K4" s="361"/>
      <c r="L4" s="300"/>
      <c r="M4" s="362" t="s">
        <v>552</v>
      </c>
      <c r="N4" s="355"/>
      <c r="O4" s="355"/>
      <c r="P4" s="355"/>
      <c r="Q4" s="355"/>
      <c r="R4" s="356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</row>
    <row r="5" spans="1:39" s="177" customFormat="1" ht="12">
      <c r="A5" s="301"/>
      <c r="B5" s="363" t="s">
        <v>25</v>
      </c>
      <c r="C5" s="365" t="s">
        <v>26</v>
      </c>
      <c r="D5" s="366"/>
      <c r="E5" s="301"/>
      <c r="F5" s="363" t="s">
        <v>29</v>
      </c>
      <c r="G5" s="365" t="s">
        <v>26</v>
      </c>
      <c r="H5" s="366"/>
      <c r="I5" s="301"/>
      <c r="J5" s="370" t="s">
        <v>551</v>
      </c>
      <c r="K5" s="371"/>
      <c r="L5" s="301"/>
      <c r="M5" s="178" t="s">
        <v>42</v>
      </c>
      <c r="N5" s="179" t="s">
        <v>44</v>
      </c>
      <c r="O5" s="179" t="s">
        <v>45</v>
      </c>
      <c r="P5" s="179" t="s">
        <v>46</v>
      </c>
      <c r="Q5" s="179" t="s">
        <v>47</v>
      </c>
      <c r="R5" s="180" t="s">
        <v>48</v>
      </c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</row>
    <row r="6" spans="1:39" s="177" customFormat="1" ht="12">
      <c r="A6" s="301"/>
      <c r="B6" s="364"/>
      <c r="C6" s="181" t="s">
        <v>1</v>
      </c>
      <c r="D6" s="182" t="s">
        <v>27</v>
      </c>
      <c r="E6" s="301"/>
      <c r="F6" s="364"/>
      <c r="G6" s="181" t="s">
        <v>1</v>
      </c>
      <c r="H6" s="182" t="s">
        <v>27</v>
      </c>
      <c r="I6" s="301"/>
      <c r="J6" s="183" t="s">
        <v>32</v>
      </c>
      <c r="K6" s="184" t="s">
        <v>33</v>
      </c>
      <c r="L6" s="301"/>
      <c r="M6" s="185">
        <v>1</v>
      </c>
      <c r="N6" s="186">
        <v>1</v>
      </c>
      <c r="O6" s="186">
        <v>1</v>
      </c>
      <c r="P6" s="186">
        <v>1</v>
      </c>
      <c r="Q6" s="186">
        <v>1</v>
      </c>
      <c r="R6" s="187">
        <v>1</v>
      </c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</row>
    <row r="7" spans="1:39" s="177" customFormat="1" ht="12">
      <c r="A7" s="301"/>
      <c r="B7" s="188">
        <v>10</v>
      </c>
      <c r="C7" s="189">
        <v>1.22</v>
      </c>
      <c r="D7" s="190">
        <v>1.15</v>
      </c>
      <c r="E7" s="301"/>
      <c r="F7" s="188">
        <v>10</v>
      </c>
      <c r="G7" s="189">
        <v>1.1</v>
      </c>
      <c r="H7" s="190">
        <v>1.07</v>
      </c>
      <c r="I7" s="301"/>
      <c r="J7" s="188">
        <v>1</v>
      </c>
      <c r="K7" s="190">
        <v>1.18</v>
      </c>
      <c r="L7" s="301"/>
      <c r="M7" s="185">
        <v>2</v>
      </c>
      <c r="N7" s="186">
        <v>0.75</v>
      </c>
      <c r="O7" s="186">
        <v>0.8</v>
      </c>
      <c r="P7" s="186">
        <v>0.85</v>
      </c>
      <c r="Q7" s="186">
        <v>0.9</v>
      </c>
      <c r="R7" s="187">
        <v>0.9</v>
      </c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</row>
    <row r="8" spans="1:39" s="177" customFormat="1" ht="12">
      <c r="A8" s="301"/>
      <c r="B8" s="188">
        <v>15</v>
      </c>
      <c r="C8" s="189">
        <v>1.17</v>
      </c>
      <c r="D8" s="190">
        <v>1.12</v>
      </c>
      <c r="E8" s="301"/>
      <c r="F8" s="188">
        <v>15</v>
      </c>
      <c r="G8" s="189">
        <v>1.05</v>
      </c>
      <c r="H8" s="190">
        <v>1.04</v>
      </c>
      <c r="I8" s="301"/>
      <c r="J8" s="188">
        <v>1.5</v>
      </c>
      <c r="K8" s="190">
        <v>1.1</v>
      </c>
      <c r="L8" s="301"/>
      <c r="M8" s="185">
        <v>3</v>
      </c>
      <c r="N8" s="186">
        <v>0.65</v>
      </c>
      <c r="O8" s="186">
        <v>0.7</v>
      </c>
      <c r="P8" s="186">
        <v>0.75</v>
      </c>
      <c r="Q8" s="186">
        <v>0.8</v>
      </c>
      <c r="R8" s="187">
        <v>0.85</v>
      </c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</row>
    <row r="9" spans="1:39" s="177" customFormat="1" ht="12">
      <c r="A9" s="301"/>
      <c r="B9" s="188">
        <v>20</v>
      </c>
      <c r="C9" s="189">
        <v>1.12</v>
      </c>
      <c r="D9" s="190">
        <v>1.08</v>
      </c>
      <c r="E9" s="301"/>
      <c r="F9" s="188">
        <v>20</v>
      </c>
      <c r="G9" s="189">
        <v>0.95</v>
      </c>
      <c r="H9" s="190">
        <v>0.96</v>
      </c>
      <c r="I9" s="301"/>
      <c r="J9" s="188">
        <v>2</v>
      </c>
      <c r="K9" s="190">
        <v>1.05</v>
      </c>
      <c r="L9" s="301"/>
      <c r="M9" s="188">
        <v>4</v>
      </c>
      <c r="N9" s="191">
        <v>0.6</v>
      </c>
      <c r="O9" s="191">
        <v>0.6</v>
      </c>
      <c r="P9" s="186">
        <v>0.7</v>
      </c>
      <c r="Q9" s="191">
        <v>0.75</v>
      </c>
      <c r="R9" s="192">
        <v>0.8</v>
      </c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</row>
    <row r="10" spans="1:39" s="177" customFormat="1" ht="12">
      <c r="A10" s="301"/>
      <c r="B10" s="188">
        <v>25</v>
      </c>
      <c r="C10" s="189">
        <v>1.06</v>
      </c>
      <c r="D10" s="190">
        <v>1.04</v>
      </c>
      <c r="E10" s="301"/>
      <c r="F10" s="188">
        <v>25</v>
      </c>
      <c r="G10" s="189">
        <v>0.89</v>
      </c>
      <c r="H10" s="190">
        <v>0.93</v>
      </c>
      <c r="I10" s="301"/>
      <c r="J10" s="188">
        <v>2.5</v>
      </c>
      <c r="K10" s="190">
        <v>1</v>
      </c>
      <c r="L10" s="301"/>
      <c r="M10" s="185">
        <v>5</v>
      </c>
      <c r="N10" s="191">
        <v>0.55</v>
      </c>
      <c r="O10" s="191">
        <v>0.55</v>
      </c>
      <c r="P10" s="191">
        <v>0.65</v>
      </c>
      <c r="Q10" s="191">
        <v>0.7</v>
      </c>
      <c r="R10" s="192">
        <v>0.8</v>
      </c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</row>
    <row r="11" spans="1:39" s="177" customFormat="1" ht="12">
      <c r="A11" s="301"/>
      <c r="B11" s="188">
        <v>35</v>
      </c>
      <c r="C11" s="189">
        <v>0.94</v>
      </c>
      <c r="D11" s="190">
        <v>0.96</v>
      </c>
      <c r="E11" s="301"/>
      <c r="F11" s="188">
        <v>35</v>
      </c>
      <c r="G11" s="189">
        <v>0.77</v>
      </c>
      <c r="H11" s="190">
        <v>0.89</v>
      </c>
      <c r="I11" s="301"/>
      <c r="J11" s="188">
        <v>3</v>
      </c>
      <c r="K11" s="190">
        <v>0.96</v>
      </c>
      <c r="L11" s="301"/>
      <c r="M11" s="185">
        <v>6</v>
      </c>
      <c r="N11" s="191">
        <v>0.5</v>
      </c>
      <c r="O11" s="191">
        <v>0.55</v>
      </c>
      <c r="P11" s="191">
        <v>0.6</v>
      </c>
      <c r="Q11" s="191">
        <v>0.7</v>
      </c>
      <c r="R11" s="192">
        <v>0.8</v>
      </c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</row>
    <row r="12" spans="1:39" s="177" customFormat="1" ht="12.75" thickBot="1">
      <c r="A12" s="301"/>
      <c r="B12" s="188">
        <v>40</v>
      </c>
      <c r="C12" s="189">
        <v>0.87</v>
      </c>
      <c r="D12" s="190">
        <v>0.91</v>
      </c>
      <c r="E12" s="301"/>
      <c r="F12" s="188">
        <v>40</v>
      </c>
      <c r="G12" s="189">
        <v>0.71</v>
      </c>
      <c r="H12" s="190">
        <v>0.85</v>
      </c>
      <c r="I12" s="301"/>
      <c r="J12" s="302"/>
      <c r="K12" s="303"/>
      <c r="L12" s="301"/>
      <c r="M12" s="193"/>
      <c r="N12" s="194"/>
      <c r="O12" s="194"/>
      <c r="P12" s="194"/>
      <c r="Q12" s="194"/>
      <c r="R12" s="195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</row>
    <row r="13" spans="1:39" s="177" customFormat="1" ht="12.75" thickBot="1">
      <c r="A13" s="301"/>
      <c r="B13" s="188">
        <v>45</v>
      </c>
      <c r="C13" s="189">
        <v>0.79</v>
      </c>
      <c r="D13" s="190">
        <v>0.87</v>
      </c>
      <c r="E13" s="301"/>
      <c r="F13" s="188">
        <v>45</v>
      </c>
      <c r="G13" s="189">
        <v>0.63</v>
      </c>
      <c r="H13" s="190">
        <v>0.8</v>
      </c>
      <c r="I13" s="301"/>
      <c r="J13" s="372" t="s">
        <v>554</v>
      </c>
      <c r="K13" s="373"/>
      <c r="L13" s="301"/>
      <c r="M13" s="304"/>
      <c r="N13" s="304"/>
      <c r="O13" s="304"/>
      <c r="P13" s="304"/>
      <c r="Q13" s="304"/>
      <c r="R13" s="304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</row>
    <row r="14" spans="1:39" s="177" customFormat="1" ht="12">
      <c r="A14" s="301"/>
      <c r="B14" s="188">
        <v>50</v>
      </c>
      <c r="C14" s="189">
        <v>0.71</v>
      </c>
      <c r="D14" s="190">
        <v>0.82</v>
      </c>
      <c r="E14" s="301"/>
      <c r="F14" s="188">
        <v>50</v>
      </c>
      <c r="G14" s="189">
        <v>0.55</v>
      </c>
      <c r="H14" s="190">
        <v>0.76</v>
      </c>
      <c r="I14" s="301"/>
      <c r="J14" s="183" t="s">
        <v>34</v>
      </c>
      <c r="K14" s="184" t="s">
        <v>33</v>
      </c>
      <c r="L14" s="301"/>
      <c r="M14" s="377" t="s">
        <v>15</v>
      </c>
      <c r="N14" s="355" t="s">
        <v>556</v>
      </c>
      <c r="O14" s="355"/>
      <c r="P14" s="355"/>
      <c r="Q14" s="355"/>
      <c r="R14" s="355"/>
      <c r="S14" s="356"/>
      <c r="T14" s="301"/>
      <c r="U14" s="301"/>
      <c r="V14" s="306"/>
      <c r="W14" s="306"/>
      <c r="X14" s="306"/>
      <c r="Y14" s="306"/>
      <c r="Z14" s="306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</row>
    <row r="15" spans="1:39" s="177" customFormat="1" ht="12">
      <c r="A15" s="301"/>
      <c r="B15" s="188">
        <v>55</v>
      </c>
      <c r="C15" s="189">
        <v>0.61</v>
      </c>
      <c r="D15" s="190">
        <v>0.76</v>
      </c>
      <c r="E15" s="301"/>
      <c r="F15" s="188">
        <v>55</v>
      </c>
      <c r="G15" s="189">
        <v>0.45</v>
      </c>
      <c r="H15" s="190">
        <v>0.71</v>
      </c>
      <c r="I15" s="301"/>
      <c r="J15" s="188" t="s">
        <v>35</v>
      </c>
      <c r="K15" s="190">
        <v>1.21</v>
      </c>
      <c r="L15" s="301"/>
      <c r="M15" s="370"/>
      <c r="N15" s="196">
        <v>1</v>
      </c>
      <c r="O15" s="196">
        <v>2</v>
      </c>
      <c r="P15" s="197">
        <v>3</v>
      </c>
      <c r="Q15" s="179">
        <v>4</v>
      </c>
      <c r="R15" s="179">
        <v>6</v>
      </c>
      <c r="S15" s="180">
        <v>8</v>
      </c>
      <c r="T15" s="301"/>
      <c r="U15" s="301"/>
      <c r="V15" s="306"/>
      <c r="W15" s="306"/>
      <c r="X15" s="306"/>
      <c r="Y15" s="306"/>
      <c r="Z15" s="306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</row>
    <row r="16" spans="1:39" s="177" customFormat="1" ht="12">
      <c r="A16" s="301"/>
      <c r="B16" s="188">
        <v>60</v>
      </c>
      <c r="C16" s="189">
        <v>0.5</v>
      </c>
      <c r="D16" s="190">
        <v>0.71</v>
      </c>
      <c r="E16" s="301"/>
      <c r="F16" s="188">
        <v>60</v>
      </c>
      <c r="G16" s="189">
        <v>0</v>
      </c>
      <c r="H16" s="190">
        <v>0.65</v>
      </c>
      <c r="I16" s="301"/>
      <c r="J16" s="188" t="s">
        <v>36</v>
      </c>
      <c r="K16" s="190">
        <v>1.13</v>
      </c>
      <c r="L16" s="301"/>
      <c r="M16" s="188">
        <v>1</v>
      </c>
      <c r="N16" s="198">
        <v>1</v>
      </c>
      <c r="O16" s="191">
        <v>1</v>
      </c>
      <c r="P16" s="191">
        <v>1</v>
      </c>
      <c r="Q16" s="191">
        <v>1</v>
      </c>
      <c r="R16" s="191">
        <v>1</v>
      </c>
      <c r="S16" s="192">
        <v>1</v>
      </c>
      <c r="T16" s="301"/>
      <c r="U16" s="301"/>
      <c r="V16" s="306"/>
      <c r="W16" s="306"/>
      <c r="X16" s="306"/>
      <c r="Y16" s="306"/>
      <c r="Z16" s="306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</row>
    <row r="17" spans="1:39" s="177" customFormat="1" ht="12">
      <c r="A17" s="301"/>
      <c r="B17" s="188">
        <v>65</v>
      </c>
      <c r="C17" s="189">
        <v>0</v>
      </c>
      <c r="D17" s="190">
        <v>0.65</v>
      </c>
      <c r="E17" s="301"/>
      <c r="F17" s="188">
        <v>65</v>
      </c>
      <c r="G17" s="189">
        <v>0</v>
      </c>
      <c r="H17" s="190">
        <v>0.6</v>
      </c>
      <c r="I17" s="301"/>
      <c r="J17" s="188" t="s">
        <v>37</v>
      </c>
      <c r="K17" s="190">
        <v>1.05</v>
      </c>
      <c r="L17" s="301"/>
      <c r="M17" s="188">
        <v>2</v>
      </c>
      <c r="N17" s="198">
        <v>0.84</v>
      </c>
      <c r="O17" s="191">
        <v>0.8</v>
      </c>
      <c r="P17" s="191">
        <v>0.78</v>
      </c>
      <c r="Q17" s="191">
        <v>0.77</v>
      </c>
      <c r="R17" s="191">
        <v>0.76</v>
      </c>
      <c r="S17" s="192">
        <v>0.75</v>
      </c>
      <c r="T17" s="301"/>
      <c r="U17" s="301"/>
      <c r="V17" s="306"/>
      <c r="W17" s="306"/>
      <c r="X17" s="306"/>
      <c r="Y17" s="306"/>
      <c r="Z17" s="306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</row>
    <row r="18" spans="1:39" s="177" customFormat="1" ht="12">
      <c r="A18" s="301"/>
      <c r="B18" s="188">
        <v>70</v>
      </c>
      <c r="C18" s="189">
        <v>0</v>
      </c>
      <c r="D18" s="190">
        <v>0.58</v>
      </c>
      <c r="E18" s="301"/>
      <c r="F18" s="188">
        <v>70</v>
      </c>
      <c r="G18" s="189">
        <v>0</v>
      </c>
      <c r="H18" s="190">
        <v>0.53</v>
      </c>
      <c r="I18" s="301"/>
      <c r="J18" s="188" t="s">
        <v>38</v>
      </c>
      <c r="K18" s="190">
        <v>1</v>
      </c>
      <c r="L18" s="301"/>
      <c r="M18" s="188">
        <v>3</v>
      </c>
      <c r="N18" s="198">
        <v>0.8</v>
      </c>
      <c r="O18" s="191">
        <v>0.76</v>
      </c>
      <c r="P18" s="191">
        <v>0.74</v>
      </c>
      <c r="Q18" s="191">
        <v>0.73</v>
      </c>
      <c r="R18" s="191">
        <v>0.72</v>
      </c>
      <c r="S18" s="192">
        <v>0.71</v>
      </c>
      <c r="T18" s="301"/>
      <c r="U18" s="301"/>
      <c r="V18" s="306"/>
      <c r="W18" s="306"/>
      <c r="X18" s="306"/>
      <c r="Y18" s="306"/>
      <c r="Z18" s="306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</row>
    <row r="19" spans="1:39" s="177" customFormat="1" ht="12">
      <c r="A19" s="301"/>
      <c r="B19" s="188">
        <v>75</v>
      </c>
      <c r="C19" s="189">
        <v>0</v>
      </c>
      <c r="D19" s="190">
        <v>0.5</v>
      </c>
      <c r="E19" s="301"/>
      <c r="F19" s="188">
        <v>75</v>
      </c>
      <c r="G19" s="189">
        <v>0</v>
      </c>
      <c r="H19" s="190">
        <v>0.46</v>
      </c>
      <c r="I19" s="301"/>
      <c r="J19" s="188" t="s">
        <v>39</v>
      </c>
      <c r="K19" s="190">
        <v>0.86</v>
      </c>
      <c r="L19" s="301"/>
      <c r="M19" s="188">
        <v>4</v>
      </c>
      <c r="N19" s="198">
        <v>0.78</v>
      </c>
      <c r="O19" s="191">
        <v>0.74</v>
      </c>
      <c r="P19" s="191">
        <v>0.72</v>
      </c>
      <c r="Q19" s="191">
        <v>0.71</v>
      </c>
      <c r="R19" s="191">
        <v>0.7</v>
      </c>
      <c r="S19" s="192">
        <v>0.69</v>
      </c>
      <c r="T19" s="301"/>
      <c r="U19" s="301"/>
      <c r="V19" s="306"/>
      <c r="W19" s="306"/>
      <c r="X19" s="306"/>
      <c r="Y19" s="306"/>
      <c r="Z19" s="306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</row>
    <row r="20" spans="1:39" s="177" customFormat="1" ht="12.75" thickBot="1">
      <c r="A20" s="301"/>
      <c r="B20" s="193">
        <v>80</v>
      </c>
      <c r="C20" s="199">
        <v>0</v>
      </c>
      <c r="D20" s="200">
        <v>0.41</v>
      </c>
      <c r="E20" s="301"/>
      <c r="F20" s="193">
        <v>80</v>
      </c>
      <c r="G20" s="199">
        <v>0</v>
      </c>
      <c r="H20" s="200">
        <v>0.38</v>
      </c>
      <c r="I20" s="301"/>
      <c r="J20" s="193"/>
      <c r="K20" s="200"/>
      <c r="L20" s="301"/>
      <c r="M20" s="188">
        <v>5</v>
      </c>
      <c r="N20" s="198">
        <v>0.77</v>
      </c>
      <c r="O20" s="191">
        <v>0.73</v>
      </c>
      <c r="P20" s="191">
        <v>0.7</v>
      </c>
      <c r="Q20" s="191">
        <v>0.69</v>
      </c>
      <c r="R20" s="191">
        <v>0.68</v>
      </c>
      <c r="S20" s="192">
        <v>0.67</v>
      </c>
      <c r="T20" s="301"/>
      <c r="U20" s="301"/>
      <c r="V20" s="306"/>
      <c r="W20" s="306"/>
      <c r="X20" s="306"/>
      <c r="Y20" s="306"/>
      <c r="Z20" s="306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</row>
    <row r="21" spans="1:39" s="177" customFormat="1" ht="15.75" customHeight="1" thickBot="1">
      <c r="A21" s="301"/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188">
        <v>6</v>
      </c>
      <c r="N21" s="198">
        <v>0.75</v>
      </c>
      <c r="O21" s="191">
        <v>0.71</v>
      </c>
      <c r="P21" s="191">
        <v>0.7</v>
      </c>
      <c r="Q21" s="191">
        <v>0.68</v>
      </c>
      <c r="R21" s="201">
        <v>0.68</v>
      </c>
      <c r="S21" s="192">
        <v>0.66</v>
      </c>
      <c r="T21" s="301"/>
      <c r="U21" s="301"/>
      <c r="V21" s="306"/>
      <c r="W21" s="306"/>
      <c r="X21" s="306"/>
      <c r="Y21" s="306"/>
      <c r="Z21" s="306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</row>
    <row r="22" spans="1:39" s="177" customFormat="1" ht="12">
      <c r="A22" s="301"/>
      <c r="B22" s="374" t="s">
        <v>557</v>
      </c>
      <c r="C22" s="375"/>
      <c r="D22" s="375"/>
      <c r="E22" s="375"/>
      <c r="F22" s="375"/>
      <c r="G22" s="376"/>
      <c r="H22" s="306"/>
      <c r="I22" s="301"/>
      <c r="J22" s="362" t="s">
        <v>547</v>
      </c>
      <c r="K22" s="356"/>
      <c r="L22" s="301"/>
      <c r="M22" s="188">
        <v>7</v>
      </c>
      <c r="N22" s="198">
        <v>0.74</v>
      </c>
      <c r="O22" s="191">
        <v>0.69</v>
      </c>
      <c r="P22" s="191">
        <v>0.675</v>
      </c>
      <c r="Q22" s="191">
        <v>0.66</v>
      </c>
      <c r="R22" s="191">
        <v>0.66</v>
      </c>
      <c r="S22" s="192">
        <v>0.64</v>
      </c>
      <c r="T22" s="301"/>
      <c r="U22" s="301"/>
      <c r="V22" s="306"/>
      <c r="W22" s="306"/>
      <c r="X22" s="306"/>
      <c r="Y22" s="306"/>
      <c r="Z22" s="306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</row>
    <row r="23" spans="1:39" s="177" customFormat="1" ht="12.75" thickBot="1">
      <c r="A23" s="301"/>
      <c r="B23" s="178" t="s">
        <v>553</v>
      </c>
      <c r="C23" s="196" t="s">
        <v>109</v>
      </c>
      <c r="D23" s="196" t="s">
        <v>130</v>
      </c>
      <c r="E23" s="202"/>
      <c r="F23" s="196" t="s">
        <v>2</v>
      </c>
      <c r="G23" s="184" t="s">
        <v>3</v>
      </c>
      <c r="H23" s="306"/>
      <c r="I23" s="301"/>
      <c r="J23" s="178" t="s">
        <v>546</v>
      </c>
      <c r="K23" s="180" t="s">
        <v>545</v>
      </c>
      <c r="L23" s="301"/>
      <c r="M23" s="193">
        <v>8</v>
      </c>
      <c r="N23" s="203">
        <v>0.73</v>
      </c>
      <c r="O23" s="194">
        <v>0.69</v>
      </c>
      <c r="P23" s="194">
        <v>0.68</v>
      </c>
      <c r="Q23" s="194">
        <v>0.67</v>
      </c>
      <c r="R23" s="194">
        <v>0.66</v>
      </c>
      <c r="S23" s="195">
        <v>0.64</v>
      </c>
      <c r="T23" s="301"/>
      <c r="U23" s="301"/>
      <c r="V23" s="306"/>
      <c r="W23" s="306"/>
      <c r="X23" s="306"/>
      <c r="Y23" s="306"/>
      <c r="Z23" s="306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</row>
    <row r="24" spans="1:39" s="177" customFormat="1" ht="12">
      <c r="A24" s="301"/>
      <c r="B24" s="185">
        <v>25</v>
      </c>
      <c r="C24" s="198">
        <v>1.25</v>
      </c>
      <c r="D24" s="191">
        <v>1.16</v>
      </c>
      <c r="E24" s="204"/>
      <c r="F24" s="191">
        <v>1.28</v>
      </c>
      <c r="G24" s="192">
        <v>1.14</v>
      </c>
      <c r="H24" s="301"/>
      <c r="I24" s="301"/>
      <c r="J24" s="185">
        <v>0.5</v>
      </c>
      <c r="K24" s="187">
        <v>1.1</v>
      </c>
      <c r="L24" s="301"/>
      <c r="M24" s="305"/>
      <c r="N24" s="301"/>
      <c r="O24" s="301"/>
      <c r="P24" s="301"/>
      <c r="Q24" s="301"/>
      <c r="R24" s="305"/>
      <c r="S24" s="305"/>
      <c r="T24" s="301"/>
      <c r="U24" s="301"/>
      <c r="V24" s="306"/>
      <c r="W24" s="306"/>
      <c r="X24" s="306"/>
      <c r="Y24" s="306"/>
      <c r="Z24" s="306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</row>
    <row r="25" spans="1:39" s="177" customFormat="1" ht="12">
      <c r="A25" s="301"/>
      <c r="B25" s="185">
        <v>30</v>
      </c>
      <c r="C25" s="198">
        <v>1.16</v>
      </c>
      <c r="D25" s="191">
        <v>1.1</v>
      </c>
      <c r="E25" s="204"/>
      <c r="F25" s="191">
        <v>1.22</v>
      </c>
      <c r="G25" s="192">
        <v>1.1</v>
      </c>
      <c r="H25" s="301"/>
      <c r="I25" s="301"/>
      <c r="J25" s="185">
        <v>0.7</v>
      </c>
      <c r="K25" s="187">
        <v>1.05</v>
      </c>
      <c r="L25" s="301"/>
      <c r="M25" s="301"/>
      <c r="N25" s="301"/>
      <c r="O25" s="301"/>
      <c r="P25" s="301"/>
      <c r="Q25" s="301"/>
      <c r="R25" s="305"/>
      <c r="S25" s="305"/>
      <c r="T25" s="301"/>
      <c r="U25" s="301"/>
      <c r="V25" s="306"/>
      <c r="W25" s="306"/>
      <c r="X25" s="306"/>
      <c r="Y25" s="306"/>
      <c r="Z25" s="306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</row>
    <row r="26" spans="1:39" s="177" customFormat="1" ht="12">
      <c r="A26" s="301"/>
      <c r="B26" s="185">
        <v>35</v>
      </c>
      <c r="C26" s="198">
        <v>1.09</v>
      </c>
      <c r="D26" s="191">
        <v>1.05</v>
      </c>
      <c r="E26" s="204"/>
      <c r="F26" s="191">
        <v>1.134</v>
      </c>
      <c r="G26" s="192">
        <v>1.04</v>
      </c>
      <c r="H26" s="301"/>
      <c r="I26" s="301"/>
      <c r="J26" s="185">
        <v>0.9</v>
      </c>
      <c r="K26" s="187">
        <v>1.01</v>
      </c>
      <c r="L26" s="301"/>
      <c r="M26" s="301"/>
      <c r="N26" s="301"/>
      <c r="O26" s="301"/>
      <c r="P26" s="301"/>
      <c r="Q26" s="301"/>
      <c r="R26" s="305"/>
      <c r="S26" s="305"/>
      <c r="T26" s="301"/>
      <c r="U26" s="301"/>
      <c r="V26" s="306"/>
      <c r="W26" s="306"/>
      <c r="X26" s="306"/>
      <c r="Y26" s="306"/>
      <c r="Z26" s="306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</row>
    <row r="27" spans="1:39" s="177" customFormat="1" ht="12">
      <c r="A27" s="301"/>
      <c r="B27" s="185">
        <v>40</v>
      </c>
      <c r="C27" s="198">
        <v>1</v>
      </c>
      <c r="D27" s="191">
        <v>1</v>
      </c>
      <c r="E27" s="204"/>
      <c r="F27" s="191">
        <v>1</v>
      </c>
      <c r="G27" s="192">
        <v>1</v>
      </c>
      <c r="H27" s="301"/>
      <c r="I27" s="301"/>
      <c r="J27" s="185">
        <v>1</v>
      </c>
      <c r="K27" s="187">
        <v>1</v>
      </c>
      <c r="L27" s="301"/>
      <c r="M27" s="301"/>
      <c r="N27" s="301"/>
      <c r="O27" s="301"/>
      <c r="P27" s="301"/>
      <c r="Q27" s="301"/>
      <c r="R27" s="305"/>
      <c r="S27" s="305"/>
      <c r="T27" s="301"/>
      <c r="U27" s="301"/>
      <c r="V27" s="306"/>
      <c r="W27" s="306"/>
      <c r="X27" s="306"/>
      <c r="Y27" s="306"/>
      <c r="Z27" s="306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</row>
    <row r="28" spans="1:39" s="177" customFormat="1" ht="12">
      <c r="A28" s="301"/>
      <c r="B28" s="185">
        <v>45</v>
      </c>
      <c r="C28" s="198">
        <v>0.9</v>
      </c>
      <c r="D28" s="191">
        <v>0.94</v>
      </c>
      <c r="E28" s="204"/>
      <c r="F28" s="191">
        <v>0.975</v>
      </c>
      <c r="G28" s="192">
        <v>0.95</v>
      </c>
      <c r="H28" s="301"/>
      <c r="I28" s="301"/>
      <c r="J28" s="185">
        <v>1.2</v>
      </c>
      <c r="K28" s="187">
        <v>0.98</v>
      </c>
      <c r="L28" s="301"/>
      <c r="M28" s="301"/>
      <c r="N28" s="301"/>
      <c r="O28" s="301"/>
      <c r="P28" s="301"/>
      <c r="Q28" s="301"/>
      <c r="R28" s="305"/>
      <c r="S28" s="305"/>
      <c r="T28" s="301"/>
      <c r="U28" s="301"/>
      <c r="V28" s="306"/>
      <c r="W28" s="306"/>
      <c r="X28" s="306"/>
      <c r="Y28" s="306"/>
      <c r="Z28" s="306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</row>
    <row r="29" spans="1:39" s="177" customFormat="1" ht="12">
      <c r="A29" s="301"/>
      <c r="B29" s="185">
        <v>50</v>
      </c>
      <c r="C29" s="198">
        <v>0.8</v>
      </c>
      <c r="D29" s="191">
        <v>0.88</v>
      </c>
      <c r="E29" s="204"/>
      <c r="F29" s="191">
        <v>0.878</v>
      </c>
      <c r="G29" s="192">
        <v>0.9</v>
      </c>
      <c r="H29" s="301"/>
      <c r="I29" s="301"/>
      <c r="J29" s="185">
        <v>1.5</v>
      </c>
      <c r="K29" s="187">
        <v>0.96</v>
      </c>
      <c r="L29" s="301"/>
      <c r="M29" s="301"/>
      <c r="N29" s="301"/>
      <c r="O29" s="301"/>
      <c r="P29" s="301"/>
      <c r="Q29" s="301"/>
      <c r="R29" s="305"/>
      <c r="S29" s="305"/>
      <c r="T29" s="301"/>
      <c r="U29" s="301"/>
      <c r="V29" s="306"/>
      <c r="W29" s="306"/>
      <c r="X29" s="306"/>
      <c r="Y29" s="306"/>
      <c r="Z29" s="306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</row>
    <row r="30" spans="1:39" s="177" customFormat="1" ht="12.75" thickBot="1">
      <c r="A30" s="301"/>
      <c r="B30" s="185">
        <v>55</v>
      </c>
      <c r="C30" s="198">
        <v>0.69</v>
      </c>
      <c r="D30" s="191">
        <v>0.82</v>
      </c>
      <c r="E30" s="204"/>
      <c r="F30" s="191">
        <v>0.768</v>
      </c>
      <c r="G30" s="192">
        <v>0.85</v>
      </c>
      <c r="H30" s="301"/>
      <c r="I30" s="301"/>
      <c r="J30" s="205"/>
      <c r="K30" s="206"/>
      <c r="L30" s="301"/>
      <c r="M30" s="301"/>
      <c r="N30" s="301"/>
      <c r="O30" s="301"/>
      <c r="P30" s="301"/>
      <c r="Q30" s="301"/>
      <c r="R30" s="305"/>
      <c r="S30" s="305"/>
      <c r="T30" s="301"/>
      <c r="U30" s="301"/>
      <c r="V30" s="306"/>
      <c r="W30" s="306"/>
      <c r="X30" s="306"/>
      <c r="Y30" s="306"/>
      <c r="Z30" s="306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</row>
    <row r="31" spans="1:39" s="177" customFormat="1" ht="12.75" thickBot="1">
      <c r="A31" s="301"/>
      <c r="B31" s="205">
        <v>60</v>
      </c>
      <c r="C31" s="203">
        <v>0.62</v>
      </c>
      <c r="D31" s="194">
        <v>0.74</v>
      </c>
      <c r="E31" s="207"/>
      <c r="F31" s="194">
        <v>0.658</v>
      </c>
      <c r="G31" s="195">
        <v>0.8</v>
      </c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5"/>
      <c r="S31" s="305"/>
      <c r="T31" s="301"/>
      <c r="U31" s="301"/>
      <c r="V31" s="306"/>
      <c r="W31" s="306"/>
      <c r="X31" s="306"/>
      <c r="Y31" s="306"/>
      <c r="Z31" s="306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</row>
    <row r="32" spans="1:39" s="177" customFormat="1" ht="12">
      <c r="A32" s="301"/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5"/>
      <c r="S32" s="305"/>
      <c r="T32" s="301"/>
      <c r="U32" s="301"/>
      <c r="V32" s="306"/>
      <c r="W32" s="306"/>
      <c r="X32" s="306"/>
      <c r="Y32" s="306"/>
      <c r="Z32" s="306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</row>
    <row r="33" spans="1:39" s="177" customFormat="1" ht="12">
      <c r="A33" s="301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5"/>
      <c r="S33" s="305"/>
      <c r="T33" s="301"/>
      <c r="U33" s="301"/>
      <c r="V33" s="306"/>
      <c r="W33" s="306"/>
      <c r="X33" s="306"/>
      <c r="Y33" s="306"/>
      <c r="Z33" s="306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</row>
    <row r="34" spans="1:39" s="177" customFormat="1" ht="12">
      <c r="A34" s="301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5"/>
      <c r="S34" s="305"/>
      <c r="T34" s="301"/>
      <c r="U34" s="301"/>
      <c r="V34" s="306"/>
      <c r="W34" s="306"/>
      <c r="X34" s="306"/>
      <c r="Y34" s="306"/>
      <c r="Z34" s="306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</row>
    <row r="35" spans="1:39" s="177" customFormat="1" ht="12">
      <c r="A35" s="301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5"/>
      <c r="S35" s="305"/>
      <c r="T35" s="301"/>
      <c r="U35" s="301"/>
      <c r="V35" s="306"/>
      <c r="W35" s="306"/>
      <c r="X35" s="306"/>
      <c r="Y35" s="306"/>
      <c r="Z35" s="306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</row>
    <row r="36" spans="1:39" s="177" customFormat="1" ht="12">
      <c r="A36" s="301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5"/>
      <c r="S36" s="305"/>
      <c r="T36" s="301"/>
      <c r="U36" s="301"/>
      <c r="V36" s="306"/>
      <c r="W36" s="306"/>
      <c r="X36" s="306"/>
      <c r="Y36" s="306"/>
      <c r="Z36" s="306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</row>
    <row r="37" spans="1:39" s="177" customFormat="1" ht="12">
      <c r="A37" s="301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5"/>
      <c r="S37" s="305"/>
      <c r="T37" s="301"/>
      <c r="U37" s="301"/>
      <c r="V37" s="306"/>
      <c r="W37" s="306"/>
      <c r="X37" s="306"/>
      <c r="Y37" s="306"/>
      <c r="Z37" s="306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</row>
    <row r="38" spans="1:39" s="177" customFormat="1" ht="12">
      <c r="A38" s="301"/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5"/>
      <c r="S38" s="305"/>
      <c r="T38" s="301"/>
      <c r="U38" s="301"/>
      <c r="V38" s="306"/>
      <c r="W38" s="306"/>
      <c r="X38" s="306"/>
      <c r="Y38" s="306"/>
      <c r="Z38" s="306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</row>
    <row r="39" spans="1:39" s="177" customFormat="1" ht="12">
      <c r="A39" s="301"/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5"/>
      <c r="S39" s="305"/>
      <c r="T39" s="301"/>
      <c r="U39" s="301"/>
      <c r="V39" s="306"/>
      <c r="W39" s="306"/>
      <c r="X39" s="306"/>
      <c r="Y39" s="306"/>
      <c r="Z39" s="306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</row>
    <row r="40" spans="1:39" s="177" customFormat="1" ht="12">
      <c r="A40" s="301"/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5"/>
      <c r="S40" s="305"/>
      <c r="T40" s="301"/>
      <c r="U40" s="301"/>
      <c r="V40" s="306"/>
      <c r="W40" s="306"/>
      <c r="X40" s="306"/>
      <c r="Y40" s="306"/>
      <c r="Z40" s="306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</row>
    <row r="41" spans="1:39" s="177" customFormat="1" ht="12">
      <c r="A41" s="301"/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5"/>
      <c r="S41" s="305"/>
      <c r="T41" s="301"/>
      <c r="U41" s="301"/>
      <c r="V41" s="306"/>
      <c r="W41" s="306"/>
      <c r="X41" s="306"/>
      <c r="Y41" s="306"/>
      <c r="Z41" s="306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</row>
    <row r="42" spans="1:39" s="177" customFormat="1" ht="12">
      <c r="A42" s="301"/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5"/>
      <c r="S42" s="305"/>
      <c r="T42" s="301"/>
      <c r="U42" s="301"/>
      <c r="V42" s="306"/>
      <c r="W42" s="306"/>
      <c r="X42" s="306"/>
      <c r="Y42" s="306"/>
      <c r="Z42" s="306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</row>
    <row r="43" spans="1:39" s="177" customFormat="1" ht="12">
      <c r="A43" s="301"/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5"/>
      <c r="S43" s="305"/>
      <c r="T43" s="301"/>
      <c r="U43" s="301"/>
      <c r="V43" s="306"/>
      <c r="W43" s="306"/>
      <c r="X43" s="306"/>
      <c r="Y43" s="306"/>
      <c r="Z43" s="306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</row>
    <row r="44" spans="1:39" s="177" customFormat="1" ht="12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5"/>
      <c r="S44" s="305"/>
      <c r="T44" s="301"/>
      <c r="U44" s="301"/>
      <c r="V44" s="306"/>
      <c r="W44" s="306"/>
      <c r="X44" s="306"/>
      <c r="Y44" s="306"/>
      <c r="Z44" s="306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</row>
    <row r="45" spans="1:39" s="177" customFormat="1" ht="12">
      <c r="A45" s="301"/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5"/>
      <c r="S45" s="305"/>
      <c r="T45" s="301"/>
      <c r="U45" s="301"/>
      <c r="V45" s="306"/>
      <c r="W45" s="306"/>
      <c r="X45" s="306"/>
      <c r="Y45" s="306"/>
      <c r="Z45" s="306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</row>
    <row r="46" spans="1:39" s="177" customFormat="1" ht="12">
      <c r="A46" s="301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5"/>
      <c r="S46" s="305"/>
      <c r="T46" s="301"/>
      <c r="U46" s="301"/>
      <c r="V46" s="306"/>
      <c r="W46" s="306"/>
      <c r="X46" s="306"/>
      <c r="Y46" s="306"/>
      <c r="Z46" s="306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  <c r="AM46" s="301"/>
    </row>
    <row r="47" spans="1:39" s="177" customFormat="1" ht="12">
      <c r="A47" s="301"/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5"/>
      <c r="S47" s="305"/>
      <c r="T47" s="301"/>
      <c r="U47" s="301"/>
      <c r="V47" s="306"/>
      <c r="W47" s="306"/>
      <c r="X47" s="306"/>
      <c r="Y47" s="306"/>
      <c r="Z47" s="306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</row>
    <row r="48" spans="1:39" s="177" customFormat="1" ht="12">
      <c r="A48" s="301"/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5"/>
      <c r="S48" s="305"/>
      <c r="T48" s="301"/>
      <c r="U48" s="301"/>
      <c r="V48" s="306"/>
      <c r="W48" s="306"/>
      <c r="X48" s="306"/>
      <c r="Y48" s="306"/>
      <c r="Z48" s="306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01"/>
    </row>
    <row r="49" spans="1:39" s="177" customFormat="1" ht="12">
      <c r="A49" s="301"/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5"/>
      <c r="S49" s="305"/>
      <c r="T49" s="301"/>
      <c r="U49" s="301"/>
      <c r="V49" s="306"/>
      <c r="W49" s="306"/>
      <c r="X49" s="306"/>
      <c r="Y49" s="306"/>
      <c r="Z49" s="306"/>
      <c r="AA49" s="301"/>
      <c r="AB49" s="301"/>
      <c r="AC49" s="301"/>
      <c r="AD49" s="301"/>
      <c r="AE49" s="301"/>
      <c r="AF49" s="301"/>
      <c r="AG49" s="301"/>
      <c r="AH49" s="301"/>
      <c r="AI49" s="301"/>
      <c r="AJ49" s="301"/>
      <c r="AK49" s="301"/>
      <c r="AL49" s="301"/>
      <c r="AM49" s="301"/>
    </row>
    <row r="50" spans="1:39" s="177" customFormat="1" ht="12">
      <c r="A50" s="301"/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5"/>
      <c r="S50" s="305"/>
      <c r="T50" s="301"/>
      <c r="U50" s="301"/>
      <c r="V50" s="306"/>
      <c r="W50" s="306"/>
      <c r="X50" s="306"/>
      <c r="Y50" s="306"/>
      <c r="Z50" s="306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301"/>
      <c r="AL50" s="301"/>
      <c r="AM50" s="301"/>
    </row>
    <row r="51" spans="1:39" s="177" customFormat="1" ht="12">
      <c r="A51" s="301"/>
      <c r="B51" s="301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5"/>
      <c r="S51" s="305"/>
      <c r="T51" s="301"/>
      <c r="U51" s="301"/>
      <c r="V51" s="306"/>
      <c r="W51" s="306"/>
      <c r="X51" s="306"/>
      <c r="Y51" s="306"/>
      <c r="Z51" s="306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</row>
    <row r="52" spans="1:39" s="177" customFormat="1" ht="12">
      <c r="A52" s="301"/>
      <c r="B52" s="301"/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5"/>
      <c r="S52" s="305"/>
      <c r="T52" s="301"/>
      <c r="U52" s="301"/>
      <c r="V52" s="306"/>
      <c r="W52" s="306"/>
      <c r="X52" s="306"/>
      <c r="Y52" s="306"/>
      <c r="Z52" s="306"/>
      <c r="AA52" s="301"/>
      <c r="AB52" s="301"/>
      <c r="AC52" s="301"/>
      <c r="AD52" s="301"/>
      <c r="AE52" s="301"/>
      <c r="AF52" s="301"/>
      <c r="AG52" s="301"/>
      <c r="AH52" s="301"/>
      <c r="AI52" s="301"/>
      <c r="AJ52" s="301"/>
      <c r="AK52" s="301"/>
      <c r="AL52" s="301"/>
      <c r="AM52" s="301"/>
    </row>
    <row r="53" spans="1:39" s="177" customFormat="1" ht="12">
      <c r="A53" s="301"/>
      <c r="B53" s="301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5"/>
      <c r="S53" s="305"/>
      <c r="T53" s="301"/>
      <c r="U53" s="301"/>
      <c r="V53" s="306"/>
      <c r="W53" s="306"/>
      <c r="X53" s="306"/>
      <c r="Y53" s="306"/>
      <c r="Z53" s="306"/>
      <c r="AA53" s="301"/>
      <c r="AB53" s="301"/>
      <c r="AC53" s="301"/>
      <c r="AD53" s="301"/>
      <c r="AE53" s="301"/>
      <c r="AF53" s="301"/>
      <c r="AG53" s="301"/>
      <c r="AH53" s="301"/>
      <c r="AI53" s="301"/>
      <c r="AJ53" s="301"/>
      <c r="AK53" s="301"/>
      <c r="AL53" s="301"/>
      <c r="AM53" s="301"/>
    </row>
    <row r="54" spans="1:39" s="177" customFormat="1" ht="12">
      <c r="A54" s="301"/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5"/>
      <c r="S54" s="305"/>
      <c r="T54" s="301"/>
      <c r="U54" s="301"/>
      <c r="V54" s="306"/>
      <c r="W54" s="306"/>
      <c r="X54" s="306"/>
      <c r="Y54" s="306"/>
      <c r="Z54" s="306"/>
      <c r="AA54" s="301"/>
      <c r="AB54" s="301"/>
      <c r="AC54" s="301"/>
      <c r="AD54" s="301"/>
      <c r="AE54" s="301"/>
      <c r="AF54" s="301"/>
      <c r="AG54" s="301"/>
      <c r="AH54" s="301"/>
      <c r="AI54" s="301"/>
      <c r="AJ54" s="301"/>
      <c r="AK54" s="301"/>
      <c r="AL54" s="301"/>
      <c r="AM54" s="301"/>
    </row>
    <row r="55" spans="1:39" s="177" customFormat="1" ht="12">
      <c r="A55" s="301"/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5"/>
      <c r="S55" s="305"/>
      <c r="T55" s="301"/>
      <c r="U55" s="301"/>
      <c r="V55" s="306"/>
      <c r="W55" s="306"/>
      <c r="X55" s="306"/>
      <c r="Y55" s="306"/>
      <c r="Z55" s="306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</row>
    <row r="56" spans="1:39" s="177" customFormat="1" ht="12">
      <c r="A56" s="301"/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5"/>
      <c r="S56" s="305"/>
      <c r="T56" s="301"/>
      <c r="U56" s="301"/>
      <c r="V56" s="306"/>
      <c r="W56" s="306"/>
      <c r="X56" s="306"/>
      <c r="Y56" s="306"/>
      <c r="Z56" s="306"/>
      <c r="AA56" s="301"/>
      <c r="AB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1"/>
      <c r="AM56" s="301"/>
    </row>
    <row r="57" spans="1:39" s="177" customFormat="1" ht="12">
      <c r="A57" s="301"/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5"/>
      <c r="S57" s="305"/>
      <c r="T57" s="301"/>
      <c r="U57" s="301"/>
      <c r="V57" s="306"/>
      <c r="W57" s="306"/>
      <c r="X57" s="306"/>
      <c r="Y57" s="306"/>
      <c r="Z57" s="306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1"/>
      <c r="AL57" s="301"/>
      <c r="AM57" s="301"/>
    </row>
    <row r="58" spans="1:39" s="177" customFormat="1" ht="12">
      <c r="A58" s="301"/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5"/>
      <c r="S58" s="305"/>
      <c r="T58" s="301"/>
      <c r="U58" s="301"/>
      <c r="V58" s="306"/>
      <c r="W58" s="306"/>
      <c r="X58" s="306"/>
      <c r="Y58" s="306"/>
      <c r="Z58" s="306"/>
      <c r="AA58" s="301"/>
      <c r="AB58" s="301"/>
      <c r="AC58" s="301"/>
      <c r="AD58" s="301"/>
      <c r="AE58" s="301"/>
      <c r="AF58" s="301"/>
      <c r="AG58" s="301"/>
      <c r="AH58" s="301"/>
      <c r="AI58" s="301"/>
      <c r="AJ58" s="301"/>
      <c r="AK58" s="301"/>
      <c r="AL58" s="301"/>
      <c r="AM58" s="301"/>
    </row>
    <row r="59" spans="1:39" s="177" customFormat="1" ht="12">
      <c r="A59" s="301"/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5"/>
      <c r="S59" s="305"/>
      <c r="T59" s="301"/>
      <c r="U59" s="301"/>
      <c r="V59" s="306"/>
      <c r="W59" s="306"/>
      <c r="X59" s="306"/>
      <c r="Y59" s="306"/>
      <c r="Z59" s="306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1"/>
      <c r="AL59" s="301"/>
      <c r="AM59" s="301"/>
    </row>
    <row r="60" spans="1:39" s="177" customFormat="1" ht="12">
      <c r="A60" s="301"/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5"/>
      <c r="S60" s="305"/>
      <c r="T60" s="301"/>
      <c r="U60" s="301"/>
      <c r="V60" s="306"/>
      <c r="W60" s="306"/>
      <c r="X60" s="306"/>
      <c r="Y60" s="306"/>
      <c r="Z60" s="306"/>
      <c r="AA60" s="301"/>
      <c r="AB60" s="301"/>
      <c r="AC60" s="301"/>
      <c r="AD60" s="301"/>
      <c r="AE60" s="301"/>
      <c r="AF60" s="301"/>
      <c r="AG60" s="301"/>
      <c r="AH60" s="301"/>
      <c r="AI60" s="301"/>
      <c r="AJ60" s="301"/>
      <c r="AK60" s="301"/>
      <c r="AL60" s="301"/>
      <c r="AM60" s="301"/>
    </row>
    <row r="61" spans="1:39" s="177" customFormat="1" ht="12">
      <c r="A61" s="301"/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5"/>
      <c r="S61" s="305"/>
      <c r="T61" s="301"/>
      <c r="U61" s="301"/>
      <c r="V61" s="306"/>
      <c r="W61" s="306"/>
      <c r="X61" s="306"/>
      <c r="Y61" s="306"/>
      <c r="Z61" s="306"/>
      <c r="AA61" s="301"/>
      <c r="AB61" s="301"/>
      <c r="AC61" s="301"/>
      <c r="AD61" s="301"/>
      <c r="AE61" s="301"/>
      <c r="AF61" s="301"/>
      <c r="AG61" s="301"/>
      <c r="AH61" s="301"/>
      <c r="AI61" s="301"/>
      <c r="AJ61" s="301"/>
      <c r="AK61" s="301"/>
      <c r="AL61" s="301"/>
      <c r="AM61" s="301"/>
    </row>
    <row r="62" spans="1:39" s="177" customFormat="1" ht="12">
      <c r="A62" s="301"/>
      <c r="B62" s="301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5"/>
      <c r="S62" s="305"/>
      <c r="T62" s="301"/>
      <c r="U62" s="301"/>
      <c r="V62" s="306"/>
      <c r="W62" s="306"/>
      <c r="X62" s="306"/>
      <c r="Y62" s="306"/>
      <c r="Z62" s="306"/>
      <c r="AA62" s="301"/>
      <c r="AB62" s="301"/>
      <c r="AC62" s="301"/>
      <c r="AD62" s="301"/>
      <c r="AE62" s="301"/>
      <c r="AF62" s="301"/>
      <c r="AG62" s="301"/>
      <c r="AH62" s="301"/>
      <c r="AI62" s="301"/>
      <c r="AJ62" s="301"/>
      <c r="AK62" s="301"/>
      <c r="AL62" s="301"/>
      <c r="AM62" s="301"/>
    </row>
    <row r="63" spans="1:39" s="177" customFormat="1" ht="12">
      <c r="A63" s="301"/>
      <c r="B63" s="301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5"/>
      <c r="S63" s="305"/>
      <c r="T63" s="301"/>
      <c r="U63" s="301"/>
      <c r="V63" s="306"/>
      <c r="W63" s="306"/>
      <c r="X63" s="306"/>
      <c r="Y63" s="306"/>
      <c r="Z63" s="306"/>
      <c r="AA63" s="301"/>
      <c r="AB63" s="301"/>
      <c r="AC63" s="301"/>
      <c r="AD63" s="301"/>
      <c r="AE63" s="301"/>
      <c r="AF63" s="301"/>
      <c r="AG63" s="301"/>
      <c r="AH63" s="301"/>
      <c r="AI63" s="301"/>
      <c r="AJ63" s="301"/>
      <c r="AK63" s="301"/>
      <c r="AL63" s="301"/>
      <c r="AM63" s="301"/>
    </row>
    <row r="64" spans="1:39" s="177" customFormat="1" ht="12">
      <c r="A64" s="301"/>
      <c r="B64" s="301"/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5"/>
      <c r="S64" s="305"/>
      <c r="T64" s="301"/>
      <c r="U64" s="301"/>
      <c r="V64" s="306"/>
      <c r="W64" s="306"/>
      <c r="X64" s="306"/>
      <c r="Y64" s="306"/>
      <c r="Z64" s="306"/>
      <c r="AA64" s="301"/>
      <c r="AB64" s="301"/>
      <c r="AC64" s="301"/>
      <c r="AD64" s="301"/>
      <c r="AE64" s="301"/>
      <c r="AF64" s="301"/>
      <c r="AG64" s="301"/>
      <c r="AH64" s="301"/>
      <c r="AI64" s="301"/>
      <c r="AJ64" s="301"/>
      <c r="AK64" s="301"/>
      <c r="AL64" s="301"/>
      <c r="AM64" s="301"/>
    </row>
    <row r="65" spans="1:39" s="177" customFormat="1" ht="12">
      <c r="A65" s="301"/>
      <c r="B65" s="301"/>
      <c r="C65" s="301"/>
      <c r="D65" s="301"/>
      <c r="E65" s="301"/>
      <c r="F65" s="301"/>
      <c r="G65" s="301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5"/>
      <c r="S65" s="305"/>
      <c r="T65" s="301"/>
      <c r="U65" s="301"/>
      <c r="V65" s="306"/>
      <c r="W65" s="306"/>
      <c r="X65" s="306"/>
      <c r="Y65" s="306"/>
      <c r="Z65" s="306"/>
      <c r="AA65" s="301"/>
      <c r="AB65" s="301"/>
      <c r="AC65" s="301"/>
      <c r="AD65" s="301"/>
      <c r="AE65" s="301"/>
      <c r="AF65" s="301"/>
      <c r="AG65" s="301"/>
      <c r="AH65" s="301"/>
      <c r="AI65" s="301"/>
      <c r="AJ65" s="301"/>
      <c r="AK65" s="301"/>
      <c r="AL65" s="301"/>
      <c r="AM65" s="301"/>
    </row>
    <row r="66" spans="1:39" s="177" customFormat="1" ht="12">
      <c r="A66" s="301"/>
      <c r="B66" s="30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5"/>
      <c r="S66" s="305"/>
      <c r="T66" s="301"/>
      <c r="U66" s="301"/>
      <c r="V66" s="306"/>
      <c r="W66" s="306"/>
      <c r="X66" s="306"/>
      <c r="Y66" s="306"/>
      <c r="Z66" s="306"/>
      <c r="AA66" s="301"/>
      <c r="AB66" s="301"/>
      <c r="AC66" s="301"/>
      <c r="AD66" s="301"/>
      <c r="AE66" s="301"/>
      <c r="AF66" s="301"/>
      <c r="AG66" s="301"/>
      <c r="AH66" s="301"/>
      <c r="AI66" s="301"/>
      <c r="AJ66" s="301"/>
      <c r="AK66" s="301"/>
      <c r="AL66" s="301"/>
      <c r="AM66" s="301"/>
    </row>
    <row r="67" spans="1:39" ht="12.75">
      <c r="A67" s="299"/>
      <c r="B67" s="299"/>
      <c r="C67" s="299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307"/>
      <c r="S67" s="307"/>
      <c r="T67" s="299"/>
      <c r="U67" s="299"/>
      <c r="V67" s="308"/>
      <c r="W67" s="308"/>
      <c r="X67" s="308"/>
      <c r="Y67" s="308"/>
      <c r="Z67" s="308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  <c r="AM67" s="299"/>
    </row>
    <row r="68" spans="1:39" ht="12.75">
      <c r="A68" s="299"/>
      <c r="B68" s="299"/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307"/>
      <c r="S68" s="307"/>
      <c r="T68" s="299"/>
      <c r="U68" s="299"/>
      <c r="V68" s="308"/>
      <c r="W68" s="308"/>
      <c r="X68" s="308"/>
      <c r="Y68" s="308"/>
      <c r="Z68" s="308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</row>
    <row r="69" spans="1:39" ht="12.75">
      <c r="A69" s="299"/>
      <c r="B69" s="299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307"/>
      <c r="S69" s="307"/>
      <c r="T69" s="299"/>
      <c r="U69" s="299"/>
      <c r="V69" s="308"/>
      <c r="W69" s="308"/>
      <c r="X69" s="308"/>
      <c r="Y69" s="308"/>
      <c r="Z69" s="308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</row>
    <row r="70" spans="1:39" ht="12.75">
      <c r="A70" s="299"/>
      <c r="B70" s="299"/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307"/>
      <c r="S70" s="307"/>
      <c r="T70" s="299"/>
      <c r="U70" s="299"/>
      <c r="V70" s="308"/>
      <c r="W70" s="308"/>
      <c r="X70" s="308"/>
      <c r="Y70" s="308"/>
      <c r="Z70" s="308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</row>
    <row r="71" spans="1:39" ht="12.75">
      <c r="A71" s="299"/>
      <c r="B71" s="299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307"/>
      <c r="S71" s="307"/>
      <c r="T71" s="299"/>
      <c r="U71" s="299"/>
      <c r="V71" s="308"/>
      <c r="W71" s="308"/>
      <c r="X71" s="308"/>
      <c r="Y71" s="308"/>
      <c r="Z71" s="308"/>
      <c r="AA71" s="299"/>
      <c r="AB71" s="299"/>
      <c r="AC71" s="299"/>
      <c r="AD71" s="299"/>
      <c r="AE71" s="299"/>
      <c r="AF71" s="299"/>
      <c r="AG71" s="299"/>
      <c r="AH71" s="299"/>
      <c r="AI71" s="299"/>
      <c r="AJ71" s="299"/>
      <c r="AK71" s="299"/>
      <c r="AL71" s="299"/>
      <c r="AM71" s="299"/>
    </row>
    <row r="72" spans="1:39" ht="12.75">
      <c r="A72" s="299"/>
      <c r="B72" s="299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  <c r="Q72" s="299"/>
      <c r="R72" s="307"/>
      <c r="S72" s="307"/>
      <c r="T72" s="299"/>
      <c r="U72" s="299"/>
      <c r="V72" s="308"/>
      <c r="W72" s="308"/>
      <c r="X72" s="308"/>
      <c r="Y72" s="308"/>
      <c r="Z72" s="308"/>
      <c r="AA72" s="299"/>
      <c r="AB72" s="299"/>
      <c r="AC72" s="299"/>
      <c r="AD72" s="299"/>
      <c r="AE72" s="299"/>
      <c r="AF72" s="299"/>
      <c r="AG72" s="299"/>
      <c r="AH72" s="299"/>
      <c r="AI72" s="299"/>
      <c r="AJ72" s="299"/>
      <c r="AK72" s="299"/>
      <c r="AL72" s="299"/>
      <c r="AM72" s="299"/>
    </row>
    <row r="73" spans="1:39" ht="12.75">
      <c r="A73" s="299"/>
      <c r="B73" s="299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307"/>
      <c r="S73" s="307"/>
      <c r="T73" s="299"/>
      <c r="U73" s="299"/>
      <c r="V73" s="308"/>
      <c r="W73" s="308"/>
      <c r="X73" s="308"/>
      <c r="Y73" s="308"/>
      <c r="Z73" s="308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</row>
    <row r="74" spans="1:39" ht="12.75">
      <c r="A74" s="299"/>
      <c r="B74" s="299"/>
      <c r="C74" s="299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307"/>
      <c r="S74" s="307"/>
      <c r="T74" s="299"/>
      <c r="U74" s="299"/>
      <c r="V74" s="308"/>
      <c r="W74" s="308"/>
      <c r="X74" s="308"/>
      <c r="Y74" s="308"/>
      <c r="Z74" s="308"/>
      <c r="AA74" s="299"/>
      <c r="AB74" s="299"/>
      <c r="AC74" s="299"/>
      <c r="AD74" s="299"/>
      <c r="AE74" s="299"/>
      <c r="AF74" s="299"/>
      <c r="AG74" s="299"/>
      <c r="AH74" s="299"/>
      <c r="AI74" s="299"/>
      <c r="AJ74" s="299"/>
      <c r="AK74" s="299"/>
      <c r="AL74" s="299"/>
      <c r="AM74" s="299"/>
    </row>
    <row r="75" spans="1:39" ht="12.75">
      <c r="A75" s="299"/>
      <c r="B75" s="299"/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307"/>
      <c r="S75" s="307"/>
      <c r="T75" s="299"/>
      <c r="U75" s="299"/>
      <c r="V75" s="308"/>
      <c r="W75" s="308"/>
      <c r="X75" s="308"/>
      <c r="Y75" s="308"/>
      <c r="Z75" s="308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</row>
    <row r="76" spans="1:39" ht="12.75">
      <c r="A76" s="299"/>
      <c r="B76" s="299"/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307"/>
      <c r="S76" s="307"/>
      <c r="T76" s="299"/>
      <c r="U76" s="299"/>
      <c r="V76" s="308"/>
      <c r="W76" s="308"/>
      <c r="X76" s="308"/>
      <c r="Y76" s="308"/>
      <c r="Z76" s="308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K76" s="299"/>
      <c r="AL76" s="299"/>
      <c r="AM76" s="299"/>
    </row>
    <row r="77" spans="1:39" ht="12.75">
      <c r="A77" s="299"/>
      <c r="B77" s="299"/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307"/>
      <c r="S77" s="307"/>
      <c r="T77" s="299"/>
      <c r="U77" s="299"/>
      <c r="V77" s="308"/>
      <c r="W77" s="308"/>
      <c r="X77" s="308"/>
      <c r="Y77" s="308"/>
      <c r="Z77" s="308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</row>
    <row r="78" spans="1:39" ht="12.75">
      <c r="A78" s="299"/>
      <c r="B78" s="299"/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307"/>
      <c r="S78" s="307"/>
      <c r="T78" s="299"/>
      <c r="U78" s="299"/>
      <c r="V78" s="308"/>
      <c r="W78" s="308"/>
      <c r="X78" s="308"/>
      <c r="Y78" s="308"/>
      <c r="Z78" s="308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</row>
    <row r="79" spans="1:39" ht="12.75">
      <c r="A79" s="299"/>
      <c r="B79" s="299"/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307"/>
      <c r="S79" s="307"/>
      <c r="T79" s="299"/>
      <c r="U79" s="299"/>
      <c r="V79" s="308"/>
      <c r="W79" s="308"/>
      <c r="X79" s="308"/>
      <c r="Y79" s="308"/>
      <c r="Z79" s="308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</row>
    <row r="80" spans="1:39" ht="12.75">
      <c r="A80" s="299"/>
      <c r="B80" s="299"/>
      <c r="C80" s="299"/>
      <c r="D80" s="299"/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307"/>
      <c r="S80" s="307"/>
      <c r="T80" s="299"/>
      <c r="U80" s="299"/>
      <c r="V80" s="308"/>
      <c r="W80" s="308"/>
      <c r="X80" s="308"/>
      <c r="Y80" s="308"/>
      <c r="Z80" s="308"/>
      <c r="AA80" s="299"/>
      <c r="AB80" s="299"/>
      <c r="AC80" s="299"/>
      <c r="AD80" s="299"/>
      <c r="AE80" s="299"/>
      <c r="AF80" s="299"/>
      <c r="AG80" s="299"/>
      <c r="AH80" s="299"/>
      <c r="AI80" s="299"/>
      <c r="AJ80" s="299"/>
      <c r="AK80" s="299"/>
      <c r="AL80" s="299"/>
      <c r="AM80" s="299"/>
    </row>
    <row r="81" spans="1:39" ht="12.75">
      <c r="A81" s="299"/>
      <c r="B81" s="299"/>
      <c r="C81" s="299"/>
      <c r="D81" s="299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307"/>
      <c r="S81" s="307"/>
      <c r="T81" s="299"/>
      <c r="U81" s="299"/>
      <c r="V81" s="308"/>
      <c r="W81" s="308"/>
      <c r="X81" s="308"/>
      <c r="Y81" s="308"/>
      <c r="Z81" s="308"/>
      <c r="AA81" s="299"/>
      <c r="AB81" s="299"/>
      <c r="AC81" s="299"/>
      <c r="AD81" s="299"/>
      <c r="AE81" s="299"/>
      <c r="AF81" s="299"/>
      <c r="AG81" s="299"/>
      <c r="AH81" s="299"/>
      <c r="AI81" s="299"/>
      <c r="AJ81" s="299"/>
      <c r="AK81" s="299"/>
      <c r="AL81" s="299"/>
      <c r="AM81" s="299"/>
    </row>
    <row r="82" spans="1:39" ht="12.75">
      <c r="A82" s="299"/>
      <c r="B82" s="299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307"/>
      <c r="S82" s="307"/>
      <c r="T82" s="299"/>
      <c r="U82" s="299"/>
      <c r="V82" s="308"/>
      <c r="W82" s="308"/>
      <c r="X82" s="308"/>
      <c r="Y82" s="308"/>
      <c r="Z82" s="308"/>
      <c r="AA82" s="299"/>
      <c r="AB82" s="299"/>
      <c r="AC82" s="299"/>
      <c r="AD82" s="299"/>
      <c r="AE82" s="299"/>
      <c r="AF82" s="299"/>
      <c r="AG82" s="299"/>
      <c r="AH82" s="299"/>
      <c r="AI82" s="299"/>
      <c r="AJ82" s="299"/>
      <c r="AK82" s="299"/>
      <c r="AL82" s="299"/>
      <c r="AM82" s="299"/>
    </row>
    <row r="83" spans="1:39" ht="12.75">
      <c r="A83" s="299"/>
      <c r="B83" s="299"/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307"/>
      <c r="S83" s="307"/>
      <c r="T83" s="299"/>
      <c r="U83" s="299"/>
      <c r="V83" s="308"/>
      <c r="W83" s="308"/>
      <c r="X83" s="308"/>
      <c r="Y83" s="308"/>
      <c r="Z83" s="308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299"/>
      <c r="AL83" s="299"/>
      <c r="AM83" s="299"/>
    </row>
    <row r="84" spans="1:39" ht="12.75">
      <c r="A84" s="299"/>
      <c r="B84" s="299"/>
      <c r="C84" s="299"/>
      <c r="D84" s="299"/>
      <c r="E84" s="299"/>
      <c r="F84" s="299"/>
      <c r="G84" s="299"/>
      <c r="H84" s="299"/>
      <c r="I84" s="299"/>
      <c r="J84" s="299"/>
      <c r="K84" s="299"/>
      <c r="L84" s="299"/>
      <c r="M84" s="299"/>
      <c r="N84" s="299"/>
      <c r="O84" s="299"/>
      <c r="P84" s="299"/>
      <c r="Q84" s="299"/>
      <c r="R84" s="307"/>
      <c r="S84" s="307"/>
      <c r="T84" s="299"/>
      <c r="U84" s="299"/>
      <c r="V84" s="308"/>
      <c r="W84" s="308"/>
      <c r="X84" s="308"/>
      <c r="Y84" s="308"/>
      <c r="Z84" s="308"/>
      <c r="AA84" s="299"/>
      <c r="AB84" s="299"/>
      <c r="AC84" s="299"/>
      <c r="AD84" s="299"/>
      <c r="AE84" s="299"/>
      <c r="AF84" s="299"/>
      <c r="AG84" s="299"/>
      <c r="AH84" s="299"/>
      <c r="AI84" s="299"/>
      <c r="AJ84" s="299"/>
      <c r="AK84" s="299"/>
      <c r="AL84" s="299"/>
      <c r="AM84" s="299"/>
    </row>
    <row r="85" spans="1:39" ht="12.75">
      <c r="A85" s="299"/>
      <c r="B85" s="299"/>
      <c r="C85" s="299"/>
      <c r="D85" s="299"/>
      <c r="E85" s="299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307"/>
      <c r="S85" s="307"/>
      <c r="T85" s="299"/>
      <c r="U85" s="299"/>
      <c r="V85" s="308"/>
      <c r="W85" s="308"/>
      <c r="X85" s="308"/>
      <c r="Y85" s="308"/>
      <c r="Z85" s="308"/>
      <c r="AA85" s="299"/>
      <c r="AB85" s="299"/>
      <c r="AC85" s="299"/>
      <c r="AD85" s="299"/>
      <c r="AE85" s="299"/>
      <c r="AF85" s="299"/>
      <c r="AG85" s="299"/>
      <c r="AH85" s="299"/>
      <c r="AI85" s="299"/>
      <c r="AJ85" s="299"/>
      <c r="AK85" s="299"/>
      <c r="AL85" s="299"/>
      <c r="AM85" s="299"/>
    </row>
    <row r="86" spans="1:39" ht="12.75">
      <c r="A86" s="299"/>
      <c r="B86" s="299"/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307"/>
      <c r="S86" s="307"/>
      <c r="T86" s="299"/>
      <c r="U86" s="299"/>
      <c r="V86" s="308"/>
      <c r="W86" s="308"/>
      <c r="X86" s="308"/>
      <c r="Y86" s="308"/>
      <c r="Z86" s="308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299"/>
      <c r="AL86" s="299"/>
      <c r="AM86" s="299"/>
    </row>
    <row r="87" spans="1:39" ht="12.75">
      <c r="A87" s="299"/>
      <c r="B87" s="299"/>
      <c r="C87" s="299"/>
      <c r="D87" s="299"/>
      <c r="E87" s="299"/>
      <c r="F87" s="299"/>
      <c r="G87" s="299"/>
      <c r="H87" s="299"/>
      <c r="I87" s="299"/>
      <c r="J87" s="299"/>
      <c r="K87" s="299"/>
      <c r="L87" s="299"/>
      <c r="M87" s="299"/>
      <c r="N87" s="299"/>
      <c r="O87" s="299"/>
      <c r="P87" s="299"/>
      <c r="Q87" s="299"/>
      <c r="R87" s="307"/>
      <c r="S87" s="307"/>
      <c r="T87" s="299"/>
      <c r="U87" s="299"/>
      <c r="V87" s="308"/>
      <c r="W87" s="308"/>
      <c r="X87" s="308"/>
      <c r="Y87" s="308"/>
      <c r="Z87" s="308"/>
      <c r="AA87" s="299"/>
      <c r="AB87" s="299"/>
      <c r="AC87" s="299"/>
      <c r="AD87" s="299"/>
      <c r="AE87" s="299"/>
      <c r="AF87" s="299"/>
      <c r="AG87" s="299"/>
      <c r="AH87" s="299"/>
      <c r="AI87" s="299"/>
      <c r="AJ87" s="299"/>
      <c r="AK87" s="299"/>
      <c r="AL87" s="299"/>
      <c r="AM87" s="299"/>
    </row>
    <row r="88" spans="1:39" ht="12.75">
      <c r="A88" s="299"/>
      <c r="B88" s="299"/>
      <c r="C88" s="299"/>
      <c r="D88" s="299"/>
      <c r="E88" s="299"/>
      <c r="F88" s="299"/>
      <c r="G88" s="299"/>
      <c r="H88" s="299"/>
      <c r="I88" s="299"/>
      <c r="J88" s="299"/>
      <c r="K88" s="299"/>
      <c r="L88" s="299"/>
      <c r="M88" s="299"/>
      <c r="N88" s="299"/>
      <c r="O88" s="299"/>
      <c r="P88" s="299"/>
      <c r="Q88" s="299"/>
      <c r="R88" s="307"/>
      <c r="S88" s="307"/>
      <c r="T88" s="299"/>
      <c r="U88" s="299"/>
      <c r="V88" s="308"/>
      <c r="W88" s="308"/>
      <c r="X88" s="308"/>
      <c r="Y88" s="308"/>
      <c r="Z88" s="308"/>
      <c r="AA88" s="299"/>
      <c r="AB88" s="299"/>
      <c r="AC88" s="299"/>
      <c r="AD88" s="299"/>
      <c r="AE88" s="299"/>
      <c r="AF88" s="299"/>
      <c r="AG88" s="299"/>
      <c r="AH88" s="299"/>
      <c r="AI88" s="299"/>
      <c r="AJ88" s="299"/>
      <c r="AK88" s="299"/>
      <c r="AL88" s="299"/>
      <c r="AM88" s="299"/>
    </row>
    <row r="89" spans="1:39" ht="12.75">
      <c r="A89" s="299"/>
      <c r="B89" s="299"/>
      <c r="C89" s="299"/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307"/>
      <c r="S89" s="307"/>
      <c r="T89" s="299"/>
      <c r="U89" s="299"/>
      <c r="V89" s="308"/>
      <c r="W89" s="308"/>
      <c r="X89" s="308"/>
      <c r="Y89" s="308"/>
      <c r="Z89" s="308"/>
      <c r="AA89" s="299"/>
      <c r="AB89" s="299"/>
      <c r="AC89" s="299"/>
      <c r="AD89" s="299"/>
      <c r="AE89" s="299"/>
      <c r="AF89" s="299"/>
      <c r="AG89" s="299"/>
      <c r="AH89" s="299"/>
      <c r="AI89" s="299"/>
      <c r="AJ89" s="299"/>
      <c r="AK89" s="299"/>
      <c r="AL89" s="299"/>
      <c r="AM89" s="299"/>
    </row>
    <row r="90" spans="1:39" ht="12.75">
      <c r="A90" s="299"/>
      <c r="B90" s="299"/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307"/>
      <c r="S90" s="307"/>
      <c r="T90" s="299"/>
      <c r="U90" s="299"/>
      <c r="V90" s="308"/>
      <c r="W90" s="308"/>
      <c r="X90" s="308"/>
      <c r="Y90" s="308"/>
      <c r="Z90" s="308"/>
      <c r="AA90" s="299"/>
      <c r="AB90" s="299"/>
      <c r="AC90" s="299"/>
      <c r="AD90" s="299"/>
      <c r="AE90" s="299"/>
      <c r="AF90" s="299"/>
      <c r="AG90" s="299"/>
      <c r="AH90" s="299"/>
      <c r="AI90" s="299"/>
      <c r="AJ90" s="299"/>
      <c r="AK90" s="299"/>
      <c r="AL90" s="299"/>
      <c r="AM90" s="299"/>
    </row>
    <row r="91" spans="1:39" ht="12.75">
      <c r="A91" s="299"/>
      <c r="B91" s="299"/>
      <c r="C91" s="299"/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307"/>
      <c r="S91" s="307"/>
      <c r="T91" s="299"/>
      <c r="U91" s="299"/>
      <c r="V91" s="308"/>
      <c r="W91" s="308"/>
      <c r="X91" s="308"/>
      <c r="Y91" s="308"/>
      <c r="Z91" s="308"/>
      <c r="AA91" s="299"/>
      <c r="AB91" s="299"/>
      <c r="AC91" s="299"/>
      <c r="AD91" s="299"/>
      <c r="AE91" s="299"/>
      <c r="AF91" s="299"/>
      <c r="AG91" s="299"/>
      <c r="AH91" s="299"/>
      <c r="AI91" s="299"/>
      <c r="AJ91" s="299"/>
      <c r="AK91" s="299"/>
      <c r="AL91" s="299"/>
      <c r="AM91" s="299"/>
    </row>
    <row r="92" spans="1:39" ht="12.75">
      <c r="A92" s="299"/>
      <c r="B92" s="299"/>
      <c r="C92" s="299"/>
      <c r="D92" s="299"/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99"/>
      <c r="Q92" s="299"/>
      <c r="R92" s="307"/>
      <c r="S92" s="307"/>
      <c r="T92" s="299"/>
      <c r="U92" s="299"/>
      <c r="V92" s="308"/>
      <c r="W92" s="308"/>
      <c r="X92" s="308"/>
      <c r="Y92" s="308"/>
      <c r="Z92" s="308"/>
      <c r="AA92" s="299"/>
      <c r="AB92" s="299"/>
      <c r="AC92" s="299"/>
      <c r="AD92" s="299"/>
      <c r="AE92" s="299"/>
      <c r="AF92" s="299"/>
      <c r="AG92" s="299"/>
      <c r="AH92" s="299"/>
      <c r="AI92" s="299"/>
      <c r="AJ92" s="299"/>
      <c r="AK92" s="299"/>
      <c r="AL92" s="299"/>
      <c r="AM92" s="299"/>
    </row>
    <row r="93" spans="1:39" ht="12.75">
      <c r="A93" s="299"/>
      <c r="B93" s="299"/>
      <c r="C93" s="299"/>
      <c r="D93" s="299"/>
      <c r="E93" s="299"/>
      <c r="F93" s="299"/>
      <c r="G93" s="299"/>
      <c r="H93" s="299"/>
      <c r="I93" s="299"/>
      <c r="J93" s="299"/>
      <c r="K93" s="299"/>
      <c r="L93" s="299"/>
      <c r="M93" s="299"/>
      <c r="N93" s="299"/>
      <c r="O93" s="299"/>
      <c r="P93" s="299"/>
      <c r="Q93" s="299"/>
      <c r="R93" s="299"/>
      <c r="S93" s="299"/>
      <c r="T93" s="299"/>
      <c r="U93" s="299"/>
      <c r="V93" s="299"/>
      <c r="W93" s="299"/>
      <c r="X93" s="299"/>
      <c r="Y93" s="299"/>
      <c r="Z93" s="299"/>
      <c r="AA93" s="299"/>
      <c r="AB93" s="299"/>
      <c r="AC93" s="299"/>
      <c r="AD93" s="299"/>
      <c r="AE93" s="299"/>
      <c r="AF93" s="299"/>
      <c r="AG93" s="299"/>
      <c r="AH93" s="299"/>
      <c r="AI93" s="299"/>
      <c r="AJ93" s="299"/>
      <c r="AK93" s="299"/>
      <c r="AL93" s="299"/>
      <c r="AM93" s="299"/>
    </row>
    <row r="94" spans="1:39" ht="12.75">
      <c r="A94" s="299"/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  <c r="Q94" s="299"/>
      <c r="R94" s="299"/>
      <c r="S94" s="299"/>
      <c r="T94" s="299"/>
      <c r="U94" s="299"/>
      <c r="V94" s="299"/>
      <c r="W94" s="299"/>
      <c r="X94" s="299"/>
      <c r="Y94" s="299"/>
      <c r="Z94" s="299"/>
      <c r="AA94" s="299"/>
      <c r="AB94" s="299"/>
      <c r="AC94" s="299"/>
      <c r="AD94" s="299"/>
      <c r="AE94" s="299"/>
      <c r="AF94" s="299"/>
      <c r="AG94" s="299"/>
      <c r="AH94" s="299"/>
      <c r="AI94" s="299"/>
      <c r="AJ94" s="299"/>
      <c r="AK94" s="299"/>
      <c r="AL94" s="299"/>
      <c r="AM94" s="299"/>
    </row>
    <row r="95" spans="1:39" ht="12.75">
      <c r="A95" s="299"/>
      <c r="B95" s="299"/>
      <c r="C95" s="299"/>
      <c r="D95" s="299"/>
      <c r="E95" s="299"/>
      <c r="F95" s="299"/>
      <c r="G95" s="299"/>
      <c r="H95" s="299"/>
      <c r="I95" s="299"/>
      <c r="J95" s="299"/>
      <c r="K95" s="299"/>
      <c r="L95" s="299"/>
      <c r="M95" s="299"/>
      <c r="N95" s="299"/>
      <c r="O95" s="299"/>
      <c r="P95" s="299"/>
      <c r="Q95" s="299"/>
      <c r="R95" s="299"/>
      <c r="S95" s="299"/>
      <c r="T95" s="299"/>
      <c r="U95" s="299"/>
      <c r="V95" s="299"/>
      <c r="W95" s="299"/>
      <c r="X95" s="299"/>
      <c r="Y95" s="299"/>
      <c r="Z95" s="299"/>
      <c r="AA95" s="299"/>
      <c r="AB95" s="299"/>
      <c r="AC95" s="299"/>
      <c r="AD95" s="299"/>
      <c r="AE95" s="299"/>
      <c r="AF95" s="299"/>
      <c r="AG95" s="299"/>
      <c r="AH95" s="299"/>
      <c r="AI95" s="299"/>
      <c r="AJ95" s="299"/>
      <c r="AK95" s="299"/>
      <c r="AL95" s="299"/>
      <c r="AM95" s="299"/>
    </row>
    <row r="96" spans="1:39" ht="12.75">
      <c r="A96" s="299"/>
      <c r="B96" s="299"/>
      <c r="C96" s="299"/>
      <c r="D96" s="299"/>
      <c r="E96" s="299"/>
      <c r="F96" s="299"/>
      <c r="G96" s="299"/>
      <c r="H96" s="299"/>
      <c r="I96" s="299"/>
      <c r="J96" s="299"/>
      <c r="K96" s="299"/>
      <c r="L96" s="299"/>
      <c r="M96" s="299"/>
      <c r="N96" s="299"/>
      <c r="O96" s="299"/>
      <c r="P96" s="299"/>
      <c r="Q96" s="299"/>
      <c r="R96" s="299"/>
      <c r="S96" s="299"/>
      <c r="T96" s="299"/>
      <c r="U96" s="299"/>
      <c r="V96" s="299"/>
      <c r="W96" s="299"/>
      <c r="X96" s="299"/>
      <c r="Y96" s="299"/>
      <c r="Z96" s="299"/>
      <c r="AA96" s="299"/>
      <c r="AB96" s="299"/>
      <c r="AC96" s="299"/>
      <c r="AD96" s="299"/>
      <c r="AE96" s="299"/>
      <c r="AF96" s="299"/>
      <c r="AG96" s="299"/>
      <c r="AH96" s="299"/>
      <c r="AI96" s="299"/>
      <c r="AJ96" s="299"/>
      <c r="AK96" s="299"/>
      <c r="AL96" s="299"/>
      <c r="AM96" s="299"/>
    </row>
    <row r="97" spans="1:39" ht="12.75">
      <c r="A97" s="299"/>
      <c r="B97" s="299"/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299"/>
      <c r="AL97" s="299"/>
      <c r="AM97" s="299"/>
    </row>
    <row r="98" spans="1:39" ht="12.75">
      <c r="A98" s="299"/>
      <c r="B98" s="299"/>
      <c r="C98" s="299"/>
      <c r="D98" s="299"/>
      <c r="E98" s="299"/>
      <c r="F98" s="299"/>
      <c r="G98" s="299"/>
      <c r="H98" s="299"/>
      <c r="I98" s="299"/>
      <c r="J98" s="299"/>
      <c r="K98" s="299"/>
      <c r="L98" s="299"/>
      <c r="M98" s="299"/>
      <c r="N98" s="299"/>
      <c r="O98" s="299"/>
      <c r="P98" s="299"/>
      <c r="Q98" s="299"/>
      <c r="R98" s="299"/>
      <c r="S98" s="299"/>
      <c r="T98" s="299"/>
      <c r="U98" s="299"/>
      <c r="V98" s="299"/>
      <c r="W98" s="299"/>
      <c r="X98" s="299"/>
      <c r="Y98" s="299"/>
      <c r="Z98" s="299"/>
      <c r="AA98" s="299"/>
      <c r="AB98" s="299"/>
      <c r="AC98" s="299"/>
      <c r="AD98" s="299"/>
      <c r="AE98" s="299"/>
      <c r="AF98" s="299"/>
      <c r="AG98" s="299"/>
      <c r="AH98" s="299"/>
      <c r="AI98" s="299"/>
      <c r="AJ98" s="299"/>
      <c r="AK98" s="299"/>
      <c r="AL98" s="299"/>
      <c r="AM98" s="299"/>
    </row>
    <row r="99" spans="1:39" ht="12.75">
      <c r="A99" s="299"/>
      <c r="B99" s="299"/>
      <c r="C99" s="299"/>
      <c r="D99" s="299"/>
      <c r="E99" s="299"/>
      <c r="F99" s="299"/>
      <c r="G99" s="299"/>
      <c r="H99" s="299"/>
      <c r="I99" s="299"/>
      <c r="J99" s="299"/>
      <c r="K99" s="299"/>
      <c r="L99" s="299"/>
      <c r="M99" s="299"/>
      <c r="N99" s="299"/>
      <c r="O99" s="299"/>
      <c r="P99" s="299"/>
      <c r="Q99" s="299"/>
      <c r="R99" s="299"/>
      <c r="S99" s="299"/>
      <c r="T99" s="299"/>
      <c r="U99" s="299"/>
      <c r="V99" s="299"/>
      <c r="W99" s="299"/>
      <c r="X99" s="299"/>
      <c r="Y99" s="299"/>
      <c r="Z99" s="299"/>
      <c r="AA99" s="299"/>
      <c r="AB99" s="299"/>
      <c r="AC99" s="299"/>
      <c r="AD99" s="299"/>
      <c r="AE99" s="299"/>
      <c r="AF99" s="299"/>
      <c r="AG99" s="299"/>
      <c r="AH99" s="299"/>
      <c r="AI99" s="299"/>
      <c r="AJ99" s="299"/>
      <c r="AK99" s="299"/>
      <c r="AL99" s="299"/>
      <c r="AM99" s="299"/>
    </row>
    <row r="100" spans="1:39" ht="12.75">
      <c r="A100" s="299"/>
      <c r="B100" s="299"/>
      <c r="C100" s="299"/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99"/>
      <c r="AA100" s="299"/>
      <c r="AB100" s="299"/>
      <c r="AC100" s="299"/>
      <c r="AD100" s="299"/>
      <c r="AE100" s="299"/>
      <c r="AF100" s="299"/>
      <c r="AG100" s="299"/>
      <c r="AH100" s="299"/>
      <c r="AI100" s="299"/>
      <c r="AJ100" s="299"/>
      <c r="AK100" s="299"/>
      <c r="AL100" s="299"/>
      <c r="AM100" s="299"/>
    </row>
    <row r="101" spans="1:39" ht="12.75">
      <c r="A101" s="299"/>
      <c r="B101" s="299"/>
      <c r="C101" s="299"/>
      <c r="D101" s="299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299"/>
      <c r="S101" s="299"/>
      <c r="T101" s="299"/>
      <c r="U101" s="299"/>
      <c r="V101" s="299"/>
      <c r="W101" s="299"/>
      <c r="X101" s="299"/>
      <c r="Y101" s="299"/>
      <c r="Z101" s="299"/>
      <c r="AA101" s="299"/>
      <c r="AB101" s="299"/>
      <c r="AC101" s="299"/>
      <c r="AD101" s="299"/>
      <c r="AE101" s="299"/>
      <c r="AF101" s="299"/>
      <c r="AG101" s="299"/>
      <c r="AH101" s="299"/>
      <c r="AI101" s="299"/>
      <c r="AJ101" s="299"/>
      <c r="AK101" s="299"/>
      <c r="AL101" s="299"/>
      <c r="AM101" s="299"/>
    </row>
    <row r="102" spans="1:39" ht="12.75">
      <c r="A102" s="299"/>
      <c r="B102" s="299"/>
      <c r="C102" s="299"/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  <c r="N102" s="299"/>
      <c r="O102" s="299"/>
      <c r="P102" s="299"/>
      <c r="Q102" s="299"/>
      <c r="R102" s="299"/>
      <c r="S102" s="299"/>
      <c r="T102" s="299"/>
      <c r="U102" s="299"/>
      <c r="V102" s="299"/>
      <c r="W102" s="299"/>
      <c r="X102" s="299"/>
      <c r="Y102" s="299"/>
      <c r="Z102" s="299"/>
      <c r="AA102" s="299"/>
      <c r="AB102" s="299"/>
      <c r="AC102" s="299"/>
      <c r="AD102" s="299"/>
      <c r="AE102" s="299"/>
      <c r="AF102" s="299"/>
      <c r="AG102" s="299"/>
      <c r="AH102" s="299"/>
      <c r="AI102" s="299"/>
      <c r="AJ102" s="299"/>
      <c r="AK102" s="299"/>
      <c r="AL102" s="299"/>
      <c r="AM102" s="299"/>
    </row>
    <row r="103" spans="1:39" ht="12.75">
      <c r="A103" s="299"/>
      <c r="B103" s="299"/>
      <c r="C103" s="299"/>
      <c r="D103" s="299"/>
      <c r="E103" s="299"/>
      <c r="F103" s="299"/>
      <c r="G103" s="299"/>
      <c r="H103" s="299"/>
      <c r="I103" s="299"/>
      <c r="J103" s="299"/>
      <c r="K103" s="299"/>
      <c r="L103" s="299"/>
      <c r="M103" s="299"/>
      <c r="N103" s="299"/>
      <c r="O103" s="299"/>
      <c r="P103" s="299"/>
      <c r="Q103" s="299"/>
      <c r="R103" s="299"/>
      <c r="S103" s="299"/>
      <c r="T103" s="299"/>
      <c r="U103" s="299"/>
      <c r="V103" s="299"/>
      <c r="W103" s="299"/>
      <c r="X103" s="299"/>
      <c r="Y103" s="299"/>
      <c r="Z103" s="299"/>
      <c r="AA103" s="299"/>
      <c r="AB103" s="299"/>
      <c r="AC103" s="299"/>
      <c r="AD103" s="299"/>
      <c r="AE103" s="299"/>
      <c r="AF103" s="299"/>
      <c r="AG103" s="299"/>
      <c r="AH103" s="299"/>
      <c r="AI103" s="299"/>
      <c r="AJ103" s="299"/>
      <c r="AK103" s="299"/>
      <c r="AL103" s="299"/>
      <c r="AM103" s="299"/>
    </row>
    <row r="104" spans="1:39" ht="12.75">
      <c r="A104" s="299"/>
      <c r="B104" s="299"/>
      <c r="C104" s="299"/>
      <c r="D104" s="299"/>
      <c r="E104" s="299"/>
      <c r="F104" s="299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  <c r="AB104" s="299"/>
      <c r="AC104" s="299"/>
      <c r="AD104" s="299"/>
      <c r="AE104" s="299"/>
      <c r="AF104" s="299"/>
      <c r="AG104" s="299"/>
      <c r="AH104" s="299"/>
      <c r="AI104" s="299"/>
      <c r="AJ104" s="299"/>
      <c r="AK104" s="299"/>
      <c r="AL104" s="299"/>
      <c r="AM104" s="299"/>
    </row>
    <row r="105" spans="1:39" ht="12.75">
      <c r="A105" s="299"/>
      <c r="B105" s="299"/>
      <c r="C105" s="299"/>
      <c r="D105" s="299"/>
      <c r="E105" s="299"/>
      <c r="F105" s="299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  <c r="AA105" s="299"/>
      <c r="AB105" s="299"/>
      <c r="AC105" s="299"/>
      <c r="AD105" s="299"/>
      <c r="AE105" s="299"/>
      <c r="AF105" s="299"/>
      <c r="AG105" s="299"/>
      <c r="AH105" s="299"/>
      <c r="AI105" s="299"/>
      <c r="AJ105" s="299"/>
      <c r="AK105" s="299"/>
      <c r="AL105" s="299"/>
      <c r="AM105" s="299"/>
    </row>
    <row r="106" spans="1:39" ht="12.75">
      <c r="A106" s="299"/>
      <c r="B106" s="299"/>
      <c r="C106" s="299"/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  <c r="N106" s="299"/>
      <c r="O106" s="299"/>
      <c r="P106" s="299"/>
      <c r="Q106" s="299"/>
      <c r="R106" s="299"/>
      <c r="S106" s="299"/>
      <c r="T106" s="299"/>
      <c r="U106" s="299"/>
      <c r="V106" s="299"/>
      <c r="W106" s="299"/>
      <c r="X106" s="299"/>
      <c r="Y106" s="299"/>
      <c r="Z106" s="299"/>
      <c r="AA106" s="299"/>
      <c r="AB106" s="299"/>
      <c r="AC106" s="299"/>
      <c r="AD106" s="299"/>
      <c r="AE106" s="299"/>
      <c r="AF106" s="299"/>
      <c r="AG106" s="299"/>
      <c r="AH106" s="299"/>
      <c r="AI106" s="299"/>
      <c r="AJ106" s="299"/>
      <c r="AK106" s="299"/>
      <c r="AL106" s="299"/>
      <c r="AM106" s="299"/>
    </row>
    <row r="107" spans="1:39" ht="12.75">
      <c r="A107" s="299"/>
      <c r="B107" s="299"/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  <c r="O107" s="299"/>
      <c r="P107" s="299"/>
      <c r="Q107" s="299"/>
      <c r="R107" s="299"/>
      <c r="S107" s="299"/>
      <c r="T107" s="299"/>
      <c r="U107" s="299"/>
      <c r="V107" s="299"/>
      <c r="W107" s="299"/>
      <c r="X107" s="299"/>
      <c r="Y107" s="299"/>
      <c r="Z107" s="299"/>
      <c r="AA107" s="299"/>
      <c r="AB107" s="299"/>
      <c r="AC107" s="299"/>
      <c r="AD107" s="299"/>
      <c r="AE107" s="299"/>
      <c r="AF107" s="299"/>
      <c r="AG107" s="299"/>
      <c r="AH107" s="299"/>
      <c r="AI107" s="299"/>
      <c r="AJ107" s="299"/>
      <c r="AK107" s="299"/>
      <c r="AL107" s="299"/>
      <c r="AM107" s="299"/>
    </row>
    <row r="108" spans="1:39" ht="12.75">
      <c r="A108" s="299"/>
      <c r="B108" s="299"/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299"/>
      <c r="O108" s="299"/>
      <c r="P108" s="299"/>
      <c r="Q108" s="299"/>
      <c r="R108" s="299"/>
      <c r="S108" s="299"/>
      <c r="T108" s="299"/>
      <c r="U108" s="299"/>
      <c r="V108" s="299"/>
      <c r="W108" s="299"/>
      <c r="X108" s="299"/>
      <c r="Y108" s="299"/>
      <c r="Z108" s="299"/>
      <c r="AA108" s="299"/>
      <c r="AB108" s="299"/>
      <c r="AC108" s="299"/>
      <c r="AD108" s="299"/>
      <c r="AE108" s="299"/>
      <c r="AF108" s="299"/>
      <c r="AG108" s="299"/>
      <c r="AH108" s="299"/>
      <c r="AI108" s="299"/>
      <c r="AJ108" s="299"/>
      <c r="AK108" s="299"/>
      <c r="AL108" s="299"/>
      <c r="AM108" s="299"/>
    </row>
    <row r="109" spans="1:39" ht="12.75">
      <c r="A109" s="299"/>
      <c r="B109" s="299"/>
      <c r="C109" s="299"/>
      <c r="D109" s="299"/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  <c r="O109" s="299"/>
      <c r="P109" s="299"/>
      <c r="Q109" s="299"/>
      <c r="R109" s="299"/>
      <c r="S109" s="299"/>
      <c r="T109" s="299"/>
      <c r="U109" s="299"/>
      <c r="V109" s="299"/>
      <c r="W109" s="299"/>
      <c r="X109" s="299"/>
      <c r="Y109" s="299"/>
      <c r="Z109" s="299"/>
      <c r="AA109" s="299"/>
      <c r="AB109" s="299"/>
      <c r="AC109" s="299"/>
      <c r="AD109" s="299"/>
      <c r="AE109" s="299"/>
      <c r="AF109" s="299"/>
      <c r="AG109" s="299"/>
      <c r="AH109" s="299"/>
      <c r="AI109" s="299"/>
      <c r="AJ109" s="299"/>
      <c r="AK109" s="299"/>
      <c r="AL109" s="299"/>
      <c r="AM109" s="299"/>
    </row>
    <row r="110" spans="1:39" ht="12.75">
      <c r="A110" s="299"/>
      <c r="B110" s="299"/>
      <c r="C110" s="299"/>
      <c r="D110" s="299"/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  <c r="O110" s="299"/>
      <c r="P110" s="299"/>
      <c r="Q110" s="299"/>
      <c r="R110" s="299"/>
      <c r="S110" s="299"/>
      <c r="T110" s="299"/>
      <c r="U110" s="299"/>
      <c r="V110" s="299"/>
      <c r="W110" s="299"/>
      <c r="X110" s="299"/>
      <c r="Y110" s="299"/>
      <c r="Z110" s="299"/>
      <c r="AA110" s="299"/>
      <c r="AB110" s="299"/>
      <c r="AC110" s="299"/>
      <c r="AD110" s="299"/>
      <c r="AE110" s="299"/>
      <c r="AF110" s="299"/>
      <c r="AG110" s="299"/>
      <c r="AH110" s="299"/>
      <c r="AI110" s="299"/>
      <c r="AJ110" s="299"/>
      <c r="AK110" s="299"/>
      <c r="AL110" s="299"/>
      <c r="AM110" s="299"/>
    </row>
    <row r="111" spans="1:39" ht="12.75">
      <c r="A111" s="299"/>
      <c r="B111" s="299"/>
      <c r="C111" s="299"/>
      <c r="D111" s="299"/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299"/>
      <c r="S111" s="299"/>
      <c r="T111" s="299"/>
      <c r="U111" s="299"/>
      <c r="V111" s="299"/>
      <c r="W111" s="299"/>
      <c r="X111" s="299"/>
      <c r="Y111" s="299"/>
      <c r="Z111" s="299"/>
      <c r="AA111" s="299"/>
      <c r="AB111" s="299"/>
      <c r="AC111" s="299"/>
      <c r="AD111" s="299"/>
      <c r="AE111" s="299"/>
      <c r="AF111" s="299"/>
      <c r="AG111" s="299"/>
      <c r="AH111" s="299"/>
      <c r="AI111" s="299"/>
      <c r="AJ111" s="299"/>
      <c r="AK111" s="299"/>
      <c r="AL111" s="299"/>
      <c r="AM111" s="299"/>
    </row>
    <row r="112" spans="1:39" ht="12.75">
      <c r="A112" s="299"/>
      <c r="B112" s="299"/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299"/>
      <c r="X112" s="299"/>
      <c r="Y112" s="299"/>
      <c r="Z112" s="299"/>
      <c r="AA112" s="299"/>
      <c r="AB112" s="299"/>
      <c r="AC112" s="299"/>
      <c r="AD112" s="299"/>
      <c r="AE112" s="299"/>
      <c r="AF112" s="299"/>
      <c r="AG112" s="299"/>
      <c r="AH112" s="299"/>
      <c r="AI112" s="299"/>
      <c r="AJ112" s="299"/>
      <c r="AK112" s="299"/>
      <c r="AL112" s="299"/>
      <c r="AM112" s="299"/>
    </row>
    <row r="113" spans="1:39" ht="12.75">
      <c r="A113" s="299"/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299"/>
      <c r="X113" s="299"/>
      <c r="Y113" s="299"/>
      <c r="Z113" s="299"/>
      <c r="AA113" s="299"/>
      <c r="AB113" s="299"/>
      <c r="AC113" s="299"/>
      <c r="AD113" s="299"/>
      <c r="AE113" s="299"/>
      <c r="AF113" s="299"/>
      <c r="AG113" s="299"/>
      <c r="AH113" s="299"/>
      <c r="AI113" s="299"/>
      <c r="AJ113" s="299"/>
      <c r="AK113" s="299"/>
      <c r="AL113" s="299"/>
      <c r="AM113" s="299"/>
    </row>
    <row r="114" spans="1:39" ht="12.75">
      <c r="A114" s="299"/>
      <c r="B114" s="299"/>
      <c r="C114" s="299"/>
      <c r="D114" s="299"/>
      <c r="E114" s="299"/>
      <c r="F114" s="299"/>
      <c r="G114" s="299"/>
      <c r="H114" s="299"/>
      <c r="I114" s="299"/>
      <c r="J114" s="299"/>
      <c r="K114" s="299"/>
      <c r="L114" s="299"/>
      <c r="M114" s="299"/>
      <c r="N114" s="299"/>
      <c r="O114" s="299"/>
      <c r="P114" s="299"/>
      <c r="Q114" s="299"/>
      <c r="R114" s="299"/>
      <c r="S114" s="299"/>
      <c r="T114" s="299"/>
      <c r="U114" s="299"/>
      <c r="V114" s="299"/>
      <c r="W114" s="299"/>
      <c r="X114" s="299"/>
      <c r="Y114" s="299"/>
      <c r="Z114" s="299"/>
      <c r="AA114" s="299"/>
      <c r="AB114" s="299"/>
      <c r="AC114" s="299"/>
      <c r="AD114" s="299"/>
      <c r="AE114" s="299"/>
      <c r="AF114" s="299"/>
      <c r="AG114" s="299"/>
      <c r="AH114" s="299"/>
      <c r="AI114" s="299"/>
      <c r="AJ114" s="299"/>
      <c r="AK114" s="299"/>
      <c r="AL114" s="299"/>
      <c r="AM114" s="299"/>
    </row>
    <row r="115" spans="1:39" ht="12.75">
      <c r="A115" s="299"/>
      <c r="B115" s="299"/>
      <c r="C115" s="299"/>
      <c r="D115" s="299"/>
      <c r="E115" s="299"/>
      <c r="F115" s="299"/>
      <c r="G115" s="299"/>
      <c r="H115" s="299"/>
      <c r="I115" s="299"/>
      <c r="J115" s="299"/>
      <c r="K115" s="299"/>
      <c r="L115" s="299"/>
      <c r="M115" s="299"/>
      <c r="N115" s="299"/>
      <c r="O115" s="299"/>
      <c r="P115" s="299"/>
      <c r="Q115" s="299"/>
      <c r="R115" s="299"/>
      <c r="S115" s="299"/>
      <c r="T115" s="299"/>
      <c r="U115" s="299"/>
      <c r="V115" s="299"/>
      <c r="W115" s="299"/>
      <c r="X115" s="299"/>
      <c r="Y115" s="299"/>
      <c r="Z115" s="299"/>
      <c r="AA115" s="299"/>
      <c r="AB115" s="299"/>
      <c r="AC115" s="299"/>
      <c r="AD115" s="299"/>
      <c r="AE115" s="299"/>
      <c r="AF115" s="299"/>
      <c r="AG115" s="299"/>
      <c r="AH115" s="299"/>
      <c r="AI115" s="299"/>
      <c r="AJ115" s="299"/>
      <c r="AK115" s="299"/>
      <c r="AL115" s="299"/>
      <c r="AM115" s="299"/>
    </row>
    <row r="116" spans="1:39" ht="12.75">
      <c r="A116" s="299"/>
      <c r="B116" s="299"/>
      <c r="C116" s="299"/>
      <c r="D116" s="299"/>
      <c r="E116" s="299"/>
      <c r="F116" s="299"/>
      <c r="G116" s="299"/>
      <c r="H116" s="299"/>
      <c r="I116" s="299"/>
      <c r="J116" s="299"/>
      <c r="K116" s="299"/>
      <c r="L116" s="299"/>
      <c r="M116" s="299"/>
      <c r="N116" s="299"/>
      <c r="O116" s="299"/>
      <c r="P116" s="299"/>
      <c r="Q116" s="299"/>
      <c r="R116" s="299"/>
      <c r="S116" s="299"/>
      <c r="T116" s="299"/>
      <c r="U116" s="299"/>
      <c r="V116" s="299"/>
      <c r="W116" s="299"/>
      <c r="X116" s="299"/>
      <c r="Y116" s="299"/>
      <c r="Z116" s="299"/>
      <c r="AA116" s="299"/>
      <c r="AB116" s="299"/>
      <c r="AC116" s="299"/>
      <c r="AD116" s="299"/>
      <c r="AE116" s="299"/>
      <c r="AF116" s="299"/>
      <c r="AG116" s="299"/>
      <c r="AH116" s="299"/>
      <c r="AI116" s="299"/>
      <c r="AJ116" s="299"/>
      <c r="AK116" s="299"/>
      <c r="AL116" s="299"/>
      <c r="AM116" s="299"/>
    </row>
    <row r="117" spans="1:39" ht="12.75">
      <c r="A117" s="299"/>
      <c r="B117" s="299"/>
      <c r="C117" s="299"/>
      <c r="D117" s="299"/>
      <c r="E117" s="299"/>
      <c r="F117" s="299"/>
      <c r="G117" s="299"/>
      <c r="H117" s="299"/>
      <c r="I117" s="299"/>
      <c r="J117" s="299"/>
      <c r="K117" s="299"/>
      <c r="L117" s="299"/>
      <c r="M117" s="299"/>
      <c r="N117" s="299"/>
      <c r="O117" s="299"/>
      <c r="P117" s="299"/>
      <c r="Q117" s="299"/>
      <c r="R117" s="299"/>
      <c r="S117" s="299"/>
      <c r="T117" s="299"/>
      <c r="U117" s="299"/>
      <c r="V117" s="299"/>
      <c r="W117" s="299"/>
      <c r="X117" s="299"/>
      <c r="Y117" s="299"/>
      <c r="Z117" s="299"/>
      <c r="AA117" s="299"/>
      <c r="AB117" s="299"/>
      <c r="AC117" s="299"/>
      <c r="AD117" s="299"/>
      <c r="AE117" s="299"/>
      <c r="AF117" s="299"/>
      <c r="AG117" s="299"/>
      <c r="AH117" s="299"/>
      <c r="AI117" s="299"/>
      <c r="AJ117" s="299"/>
      <c r="AK117" s="299"/>
      <c r="AL117" s="299"/>
      <c r="AM117" s="299"/>
    </row>
    <row r="118" spans="1:39" ht="12.75">
      <c r="A118" s="299"/>
      <c r="B118" s="299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99"/>
      <c r="AK118" s="299"/>
      <c r="AL118" s="299"/>
      <c r="AM118" s="299"/>
    </row>
    <row r="119" spans="1:39" ht="12.75">
      <c r="A119" s="299"/>
      <c r="B119" s="299"/>
      <c r="C119" s="299"/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  <c r="R119" s="299"/>
      <c r="S119" s="299"/>
      <c r="T119" s="299"/>
      <c r="U119" s="299"/>
      <c r="V119" s="299"/>
      <c r="W119" s="299"/>
      <c r="X119" s="299"/>
      <c r="Y119" s="299"/>
      <c r="Z119" s="299"/>
      <c r="AA119" s="299"/>
      <c r="AB119" s="299"/>
      <c r="AC119" s="299"/>
      <c r="AD119" s="299"/>
      <c r="AE119" s="299"/>
      <c r="AF119" s="299"/>
      <c r="AG119" s="299"/>
      <c r="AH119" s="299"/>
      <c r="AI119" s="299"/>
      <c r="AJ119" s="299"/>
      <c r="AK119" s="299"/>
      <c r="AL119" s="299"/>
      <c r="AM119" s="299"/>
    </row>
    <row r="120" spans="1:39" ht="12.75">
      <c r="A120" s="299"/>
      <c r="B120" s="299"/>
      <c r="C120" s="299"/>
      <c r="D120" s="299"/>
      <c r="E120" s="299"/>
      <c r="F120" s="299"/>
      <c r="G120" s="299"/>
      <c r="H120" s="299"/>
      <c r="I120" s="299"/>
      <c r="J120" s="299"/>
      <c r="K120" s="299"/>
      <c r="L120" s="299"/>
      <c r="M120" s="299"/>
      <c r="N120" s="299"/>
      <c r="O120" s="299"/>
      <c r="P120" s="299"/>
      <c r="Q120" s="299"/>
      <c r="R120" s="299"/>
      <c r="S120" s="299"/>
      <c r="T120" s="299"/>
      <c r="U120" s="299"/>
      <c r="V120" s="299"/>
      <c r="W120" s="299"/>
      <c r="X120" s="299"/>
      <c r="Y120" s="299"/>
      <c r="Z120" s="299"/>
      <c r="AA120" s="299"/>
      <c r="AB120" s="299"/>
      <c r="AC120" s="299"/>
      <c r="AD120" s="299"/>
      <c r="AE120" s="299"/>
      <c r="AF120" s="299"/>
      <c r="AG120" s="299"/>
      <c r="AH120" s="299"/>
      <c r="AI120" s="299"/>
      <c r="AJ120" s="299"/>
      <c r="AK120" s="299"/>
      <c r="AL120" s="299"/>
      <c r="AM120" s="299"/>
    </row>
    <row r="121" spans="1:39" ht="12.75">
      <c r="A121" s="299"/>
      <c r="B121" s="299"/>
      <c r="C121" s="299"/>
      <c r="D121" s="299"/>
      <c r="E121" s="299"/>
      <c r="F121" s="299"/>
      <c r="G121" s="299"/>
      <c r="H121" s="299"/>
      <c r="I121" s="299"/>
      <c r="J121" s="299"/>
      <c r="K121" s="299"/>
      <c r="L121" s="299"/>
      <c r="M121" s="299"/>
      <c r="N121" s="299"/>
      <c r="O121" s="299"/>
      <c r="P121" s="299"/>
      <c r="Q121" s="299"/>
      <c r="R121" s="299"/>
      <c r="S121" s="299"/>
      <c r="T121" s="299"/>
      <c r="U121" s="299"/>
      <c r="V121" s="299"/>
      <c r="W121" s="299"/>
      <c r="X121" s="299"/>
      <c r="Y121" s="299"/>
      <c r="Z121" s="299"/>
      <c r="AA121" s="299"/>
      <c r="AB121" s="299"/>
      <c r="AC121" s="299"/>
      <c r="AD121" s="299"/>
      <c r="AE121" s="299"/>
      <c r="AF121" s="299"/>
      <c r="AG121" s="299"/>
      <c r="AH121" s="299"/>
      <c r="AI121" s="299"/>
      <c r="AJ121" s="299"/>
      <c r="AK121" s="299"/>
      <c r="AL121" s="299"/>
      <c r="AM121" s="299"/>
    </row>
    <row r="122" spans="1:39" ht="12.75">
      <c r="A122" s="299"/>
      <c r="B122" s="299"/>
      <c r="C122" s="299"/>
      <c r="D122" s="299"/>
      <c r="E122" s="299"/>
      <c r="F122" s="299"/>
      <c r="G122" s="299"/>
      <c r="H122" s="299"/>
      <c r="I122" s="299"/>
      <c r="J122" s="299"/>
      <c r="K122" s="299"/>
      <c r="L122" s="299"/>
      <c r="M122" s="299"/>
      <c r="N122" s="299"/>
      <c r="O122" s="299"/>
      <c r="P122" s="299"/>
      <c r="Q122" s="299"/>
      <c r="R122" s="299"/>
      <c r="S122" s="299"/>
      <c r="T122" s="299"/>
      <c r="U122" s="299"/>
      <c r="V122" s="299"/>
      <c r="W122" s="299"/>
      <c r="X122" s="299"/>
      <c r="Y122" s="299"/>
      <c r="Z122" s="299"/>
      <c r="AA122" s="299"/>
      <c r="AB122" s="299"/>
      <c r="AC122" s="299"/>
      <c r="AD122" s="299"/>
      <c r="AE122" s="299"/>
      <c r="AF122" s="299"/>
      <c r="AG122" s="299"/>
      <c r="AH122" s="299"/>
      <c r="AI122" s="299"/>
      <c r="AJ122" s="299"/>
      <c r="AK122" s="299"/>
      <c r="AL122" s="299"/>
      <c r="AM122" s="299"/>
    </row>
    <row r="123" spans="1:39" ht="12.75">
      <c r="A123" s="299"/>
      <c r="B123" s="299"/>
      <c r="C123" s="299"/>
      <c r="D123" s="299"/>
      <c r="E123" s="299"/>
      <c r="F123" s="299"/>
      <c r="G123" s="299"/>
      <c r="H123" s="299"/>
      <c r="I123" s="299"/>
      <c r="J123" s="299"/>
      <c r="K123" s="299"/>
      <c r="L123" s="299"/>
      <c r="M123" s="299"/>
      <c r="N123" s="299"/>
      <c r="O123" s="299"/>
      <c r="P123" s="299"/>
      <c r="Q123" s="299"/>
      <c r="R123" s="299"/>
      <c r="S123" s="299"/>
      <c r="T123" s="299"/>
      <c r="U123" s="299"/>
      <c r="V123" s="299"/>
      <c r="W123" s="299"/>
      <c r="X123" s="299"/>
      <c r="Y123" s="299"/>
      <c r="Z123" s="299"/>
      <c r="AA123" s="299"/>
      <c r="AB123" s="299"/>
      <c r="AC123" s="299"/>
      <c r="AD123" s="299"/>
      <c r="AE123" s="299"/>
      <c r="AF123" s="299"/>
      <c r="AG123" s="299"/>
      <c r="AH123" s="299"/>
      <c r="AI123" s="299"/>
      <c r="AJ123" s="299"/>
      <c r="AK123" s="299"/>
      <c r="AL123" s="299"/>
      <c r="AM123" s="299"/>
    </row>
    <row r="124" spans="1:39" ht="12.75">
      <c r="A124" s="299"/>
      <c r="B124" s="299"/>
      <c r="C124" s="299"/>
      <c r="D124" s="299"/>
      <c r="E124" s="299"/>
      <c r="F124" s="299"/>
      <c r="G124" s="299"/>
      <c r="H124" s="299"/>
      <c r="I124" s="299"/>
      <c r="J124" s="299"/>
      <c r="K124" s="299"/>
      <c r="L124" s="299"/>
      <c r="M124" s="299"/>
      <c r="N124" s="299"/>
      <c r="O124" s="299"/>
      <c r="P124" s="299"/>
      <c r="Q124" s="299"/>
      <c r="R124" s="299"/>
      <c r="S124" s="299"/>
      <c r="T124" s="299"/>
      <c r="U124" s="299"/>
      <c r="V124" s="299"/>
      <c r="W124" s="299"/>
      <c r="X124" s="299"/>
      <c r="Y124" s="299"/>
      <c r="Z124" s="299"/>
      <c r="AA124" s="299"/>
      <c r="AB124" s="299"/>
      <c r="AC124" s="299"/>
      <c r="AD124" s="299"/>
      <c r="AE124" s="299"/>
      <c r="AF124" s="299"/>
      <c r="AG124" s="299"/>
      <c r="AH124" s="299"/>
      <c r="AI124" s="299"/>
      <c r="AJ124" s="299"/>
      <c r="AK124" s="299"/>
      <c r="AL124" s="299"/>
      <c r="AM124" s="299"/>
    </row>
    <row r="125" spans="1:39" ht="12.75">
      <c r="A125" s="299"/>
      <c r="B125" s="299"/>
      <c r="C125" s="299"/>
      <c r="D125" s="299"/>
      <c r="E125" s="299"/>
      <c r="F125" s="299"/>
      <c r="G125" s="299"/>
      <c r="H125" s="299"/>
      <c r="I125" s="299"/>
      <c r="J125" s="299"/>
      <c r="K125" s="299"/>
      <c r="L125" s="299"/>
      <c r="M125" s="299"/>
      <c r="N125" s="299"/>
      <c r="O125" s="299"/>
      <c r="P125" s="299"/>
      <c r="Q125" s="299"/>
      <c r="R125" s="299"/>
      <c r="S125" s="299"/>
      <c r="T125" s="299"/>
      <c r="U125" s="299"/>
      <c r="V125" s="299"/>
      <c r="W125" s="299"/>
      <c r="X125" s="299"/>
      <c r="Y125" s="299"/>
      <c r="Z125" s="299"/>
      <c r="AA125" s="299"/>
      <c r="AB125" s="299"/>
      <c r="AC125" s="299"/>
      <c r="AD125" s="299"/>
      <c r="AE125" s="299"/>
      <c r="AF125" s="299"/>
      <c r="AG125" s="299"/>
      <c r="AH125" s="299"/>
      <c r="AI125" s="299"/>
      <c r="AJ125" s="299"/>
      <c r="AK125" s="299"/>
      <c r="AL125" s="299"/>
      <c r="AM125" s="299"/>
    </row>
    <row r="126" spans="1:39" ht="12.75">
      <c r="A126" s="299"/>
      <c r="B126" s="299"/>
      <c r="C126" s="299"/>
      <c r="D126" s="299"/>
      <c r="E126" s="299"/>
      <c r="F126" s="299"/>
      <c r="G126" s="299"/>
      <c r="H126" s="299"/>
      <c r="I126" s="299"/>
      <c r="J126" s="299"/>
      <c r="K126" s="299"/>
      <c r="L126" s="299"/>
      <c r="M126" s="299"/>
      <c r="N126" s="299"/>
      <c r="O126" s="299"/>
      <c r="P126" s="299"/>
      <c r="Q126" s="299"/>
      <c r="R126" s="299"/>
      <c r="S126" s="299"/>
      <c r="T126" s="299"/>
      <c r="U126" s="299"/>
      <c r="V126" s="299"/>
      <c r="W126" s="299"/>
      <c r="X126" s="299"/>
      <c r="Y126" s="299"/>
      <c r="Z126" s="299"/>
      <c r="AA126" s="299"/>
      <c r="AB126" s="299"/>
      <c r="AC126" s="299"/>
      <c r="AD126" s="299"/>
      <c r="AE126" s="299"/>
      <c r="AF126" s="299"/>
      <c r="AG126" s="299"/>
      <c r="AH126" s="299"/>
      <c r="AI126" s="299"/>
      <c r="AJ126" s="299"/>
      <c r="AK126" s="299"/>
      <c r="AL126" s="299"/>
      <c r="AM126" s="299"/>
    </row>
    <row r="127" spans="1:39" ht="12.75">
      <c r="A127" s="299"/>
      <c r="B127" s="299"/>
      <c r="C127" s="299"/>
      <c r="D127" s="299"/>
      <c r="E127" s="299"/>
      <c r="F127" s="299"/>
      <c r="G127" s="299"/>
      <c r="H127" s="299"/>
      <c r="I127" s="299"/>
      <c r="J127" s="299"/>
      <c r="K127" s="299"/>
      <c r="L127" s="299"/>
      <c r="M127" s="299"/>
      <c r="N127" s="299"/>
      <c r="O127" s="299"/>
      <c r="P127" s="299"/>
      <c r="Q127" s="299"/>
      <c r="R127" s="299"/>
      <c r="S127" s="299"/>
      <c r="T127" s="299"/>
      <c r="U127" s="299"/>
      <c r="V127" s="299"/>
      <c r="W127" s="299"/>
      <c r="X127" s="299"/>
      <c r="Y127" s="299"/>
      <c r="Z127" s="299"/>
      <c r="AA127" s="299"/>
      <c r="AB127" s="299"/>
      <c r="AC127" s="299"/>
      <c r="AD127" s="299"/>
      <c r="AE127" s="299"/>
      <c r="AF127" s="299"/>
      <c r="AG127" s="299"/>
      <c r="AH127" s="299"/>
      <c r="AI127" s="299"/>
      <c r="AJ127" s="299"/>
      <c r="AK127" s="299"/>
      <c r="AL127" s="299"/>
      <c r="AM127" s="299"/>
    </row>
    <row r="128" spans="1:39" ht="12.75">
      <c r="A128" s="299"/>
      <c r="B128" s="299"/>
      <c r="C128" s="299"/>
      <c r="D128" s="299"/>
      <c r="E128" s="299"/>
      <c r="F128" s="299"/>
      <c r="G128" s="299"/>
      <c r="H128" s="299"/>
      <c r="I128" s="299"/>
      <c r="J128" s="299"/>
      <c r="K128" s="299"/>
      <c r="L128" s="299"/>
      <c r="M128" s="299"/>
      <c r="N128" s="299"/>
      <c r="O128" s="299"/>
      <c r="P128" s="299"/>
      <c r="Q128" s="299"/>
      <c r="R128" s="299"/>
      <c r="S128" s="299"/>
      <c r="T128" s="299"/>
      <c r="U128" s="299"/>
      <c r="V128" s="299"/>
      <c r="W128" s="299"/>
      <c r="X128" s="299"/>
      <c r="Y128" s="299"/>
      <c r="Z128" s="299"/>
      <c r="AA128" s="299"/>
      <c r="AB128" s="299"/>
      <c r="AC128" s="299"/>
      <c r="AD128" s="299"/>
      <c r="AE128" s="299"/>
      <c r="AF128" s="299"/>
      <c r="AG128" s="299"/>
      <c r="AH128" s="299"/>
      <c r="AI128" s="299"/>
      <c r="AJ128" s="299"/>
      <c r="AK128" s="299"/>
      <c r="AL128" s="299"/>
      <c r="AM128" s="299"/>
    </row>
    <row r="129" spans="1:39" ht="12.75">
      <c r="A129" s="299"/>
      <c r="B129" s="299"/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  <c r="N129" s="299"/>
      <c r="O129" s="299"/>
      <c r="P129" s="299"/>
      <c r="Q129" s="299"/>
      <c r="R129" s="299"/>
      <c r="S129" s="299"/>
      <c r="T129" s="299"/>
      <c r="U129" s="299"/>
      <c r="V129" s="299"/>
      <c r="W129" s="299"/>
      <c r="X129" s="299"/>
      <c r="Y129" s="299"/>
      <c r="Z129" s="299"/>
      <c r="AA129" s="299"/>
      <c r="AB129" s="299"/>
      <c r="AC129" s="299"/>
      <c r="AD129" s="299"/>
      <c r="AE129" s="299"/>
      <c r="AF129" s="299"/>
      <c r="AG129" s="299"/>
      <c r="AH129" s="299"/>
      <c r="AI129" s="299"/>
      <c r="AJ129" s="299"/>
      <c r="AK129" s="299"/>
      <c r="AL129" s="299"/>
      <c r="AM129" s="299"/>
    </row>
    <row r="130" spans="1:39" ht="12.75">
      <c r="A130" s="299"/>
      <c r="B130" s="299"/>
      <c r="C130" s="299"/>
      <c r="D130" s="299"/>
      <c r="E130" s="299"/>
      <c r="F130" s="299"/>
      <c r="G130" s="299"/>
      <c r="H130" s="299"/>
      <c r="I130" s="299"/>
      <c r="J130" s="299"/>
      <c r="K130" s="299"/>
      <c r="L130" s="299"/>
      <c r="M130" s="299"/>
      <c r="N130" s="299"/>
      <c r="O130" s="299"/>
      <c r="P130" s="299"/>
      <c r="Q130" s="299"/>
      <c r="R130" s="299"/>
      <c r="S130" s="299"/>
      <c r="T130" s="299"/>
      <c r="U130" s="299"/>
      <c r="V130" s="299"/>
      <c r="W130" s="299"/>
      <c r="X130" s="299"/>
      <c r="Y130" s="299"/>
      <c r="Z130" s="299"/>
      <c r="AA130" s="299"/>
      <c r="AB130" s="299"/>
      <c r="AC130" s="299"/>
      <c r="AD130" s="299"/>
      <c r="AE130" s="299"/>
      <c r="AF130" s="299"/>
      <c r="AG130" s="299"/>
      <c r="AH130" s="299"/>
      <c r="AI130" s="299"/>
      <c r="AJ130" s="299"/>
      <c r="AK130" s="299"/>
      <c r="AL130" s="299"/>
      <c r="AM130" s="299"/>
    </row>
    <row r="131" spans="1:39" ht="12.75">
      <c r="A131" s="299"/>
      <c r="B131" s="299"/>
      <c r="C131" s="299"/>
      <c r="D131" s="299"/>
      <c r="E131" s="299"/>
      <c r="F131" s="299"/>
      <c r="G131" s="299"/>
      <c r="H131" s="299"/>
      <c r="I131" s="299"/>
      <c r="J131" s="299"/>
      <c r="K131" s="299"/>
      <c r="L131" s="299"/>
      <c r="M131" s="299"/>
      <c r="N131" s="299"/>
      <c r="O131" s="299"/>
      <c r="P131" s="299"/>
      <c r="Q131" s="299"/>
      <c r="R131" s="299"/>
      <c r="S131" s="299"/>
      <c r="T131" s="299"/>
      <c r="U131" s="299"/>
      <c r="V131" s="299"/>
      <c r="W131" s="299"/>
      <c r="X131" s="299"/>
      <c r="Y131" s="299"/>
      <c r="Z131" s="299"/>
      <c r="AA131" s="299"/>
      <c r="AB131" s="299"/>
      <c r="AC131" s="299"/>
      <c r="AD131" s="299"/>
      <c r="AE131" s="299"/>
      <c r="AF131" s="299"/>
      <c r="AG131" s="299"/>
      <c r="AH131" s="299"/>
      <c r="AI131" s="299"/>
      <c r="AJ131" s="299"/>
      <c r="AK131" s="299"/>
      <c r="AL131" s="299"/>
      <c r="AM131" s="299"/>
    </row>
    <row r="132" spans="1:39" ht="12.75">
      <c r="A132" s="299"/>
      <c r="B132" s="299"/>
      <c r="C132" s="299"/>
      <c r="D132" s="299"/>
      <c r="E132" s="299"/>
      <c r="F132" s="299"/>
      <c r="G132" s="299"/>
      <c r="H132" s="299"/>
      <c r="I132" s="299"/>
      <c r="J132" s="299"/>
      <c r="K132" s="299"/>
      <c r="L132" s="299"/>
      <c r="M132" s="299"/>
      <c r="N132" s="299"/>
      <c r="O132" s="299"/>
      <c r="P132" s="299"/>
      <c r="Q132" s="299"/>
      <c r="R132" s="299"/>
      <c r="S132" s="299"/>
      <c r="T132" s="299"/>
      <c r="U132" s="299"/>
      <c r="V132" s="299"/>
      <c r="W132" s="299"/>
      <c r="X132" s="299"/>
      <c r="Y132" s="299"/>
      <c r="Z132" s="299"/>
      <c r="AA132" s="299"/>
      <c r="AB132" s="299"/>
      <c r="AC132" s="299"/>
      <c r="AD132" s="299"/>
      <c r="AE132" s="299"/>
      <c r="AF132" s="299"/>
      <c r="AG132" s="299"/>
      <c r="AH132" s="299"/>
      <c r="AI132" s="299"/>
      <c r="AJ132" s="299"/>
      <c r="AK132" s="299"/>
      <c r="AL132" s="299"/>
      <c r="AM132" s="299"/>
    </row>
    <row r="133" spans="1:39" ht="12.75">
      <c r="A133" s="299"/>
      <c r="B133" s="299"/>
      <c r="C133" s="299"/>
      <c r="D133" s="299"/>
      <c r="E133" s="299"/>
      <c r="F133" s="299"/>
      <c r="G133" s="299"/>
      <c r="H133" s="299"/>
      <c r="I133" s="299"/>
      <c r="J133" s="299"/>
      <c r="K133" s="299"/>
      <c r="L133" s="299"/>
      <c r="M133" s="299"/>
      <c r="N133" s="299"/>
      <c r="O133" s="299"/>
      <c r="P133" s="299"/>
      <c r="Q133" s="299"/>
      <c r="R133" s="299"/>
      <c r="S133" s="299"/>
      <c r="T133" s="299"/>
      <c r="U133" s="299"/>
      <c r="V133" s="299"/>
      <c r="W133" s="299"/>
      <c r="X133" s="299"/>
      <c r="Y133" s="299"/>
      <c r="Z133" s="299"/>
      <c r="AA133" s="299"/>
      <c r="AB133" s="299"/>
      <c r="AC133" s="299"/>
      <c r="AD133" s="299"/>
      <c r="AE133" s="299"/>
      <c r="AF133" s="299"/>
      <c r="AG133" s="299"/>
      <c r="AH133" s="299"/>
      <c r="AI133" s="299"/>
      <c r="AJ133" s="299"/>
      <c r="AK133" s="299"/>
      <c r="AL133" s="299"/>
      <c r="AM133" s="299"/>
    </row>
    <row r="134" spans="1:39" ht="12.75">
      <c r="A134" s="299"/>
      <c r="B134" s="299"/>
      <c r="C134" s="299"/>
      <c r="D134" s="299"/>
      <c r="E134" s="299"/>
      <c r="F134" s="299"/>
      <c r="G134" s="299"/>
      <c r="H134" s="299"/>
      <c r="I134" s="299"/>
      <c r="J134" s="299"/>
      <c r="K134" s="299"/>
      <c r="L134" s="299"/>
      <c r="M134" s="299"/>
      <c r="N134" s="299"/>
      <c r="O134" s="299"/>
      <c r="P134" s="299"/>
      <c r="Q134" s="299"/>
      <c r="R134" s="299"/>
      <c r="S134" s="299"/>
      <c r="T134" s="299"/>
      <c r="U134" s="299"/>
      <c r="V134" s="299"/>
      <c r="W134" s="299"/>
      <c r="X134" s="299"/>
      <c r="Y134" s="299"/>
      <c r="Z134" s="299"/>
      <c r="AA134" s="299"/>
      <c r="AB134" s="299"/>
      <c r="AC134" s="299"/>
      <c r="AD134" s="299"/>
      <c r="AE134" s="299"/>
      <c r="AF134" s="299"/>
      <c r="AG134" s="299"/>
      <c r="AH134" s="299"/>
      <c r="AI134" s="299"/>
      <c r="AJ134" s="299"/>
      <c r="AK134" s="299"/>
      <c r="AL134" s="299"/>
      <c r="AM134" s="299"/>
    </row>
    <row r="135" spans="1:39" ht="12.75">
      <c r="A135" s="299"/>
      <c r="B135" s="299"/>
      <c r="C135" s="299"/>
      <c r="D135" s="299"/>
      <c r="E135" s="299"/>
      <c r="F135" s="299"/>
      <c r="G135" s="299"/>
      <c r="H135" s="299"/>
      <c r="I135" s="299"/>
      <c r="J135" s="299"/>
      <c r="K135" s="299"/>
      <c r="L135" s="299"/>
      <c r="M135" s="299"/>
      <c r="N135" s="299"/>
      <c r="O135" s="299"/>
      <c r="P135" s="299"/>
      <c r="Q135" s="299"/>
      <c r="R135" s="299"/>
      <c r="S135" s="299"/>
      <c r="T135" s="299"/>
      <c r="U135" s="299"/>
      <c r="V135" s="299"/>
      <c r="W135" s="299"/>
      <c r="X135" s="299"/>
      <c r="Y135" s="299"/>
      <c r="Z135" s="299"/>
      <c r="AA135" s="299"/>
      <c r="AB135" s="299"/>
      <c r="AC135" s="299"/>
      <c r="AD135" s="299"/>
      <c r="AE135" s="299"/>
      <c r="AF135" s="299"/>
      <c r="AG135" s="299"/>
      <c r="AH135" s="299"/>
      <c r="AI135" s="299"/>
      <c r="AJ135" s="299"/>
      <c r="AK135" s="299"/>
      <c r="AL135" s="299"/>
      <c r="AM135" s="299"/>
    </row>
    <row r="136" spans="1:39" ht="12.75">
      <c r="A136" s="299"/>
      <c r="B136" s="299"/>
      <c r="C136" s="299"/>
      <c r="D136" s="299"/>
      <c r="E136" s="299"/>
      <c r="F136" s="299"/>
      <c r="G136" s="299"/>
      <c r="H136" s="299"/>
      <c r="I136" s="299"/>
      <c r="J136" s="299"/>
      <c r="K136" s="299"/>
      <c r="L136" s="299"/>
      <c r="M136" s="299"/>
      <c r="N136" s="299"/>
      <c r="O136" s="299"/>
      <c r="P136" s="299"/>
      <c r="Q136" s="299"/>
      <c r="R136" s="299"/>
      <c r="S136" s="299"/>
      <c r="T136" s="299"/>
      <c r="U136" s="299"/>
      <c r="V136" s="299"/>
      <c r="W136" s="299"/>
      <c r="X136" s="299"/>
      <c r="Y136" s="299"/>
      <c r="Z136" s="299"/>
      <c r="AA136" s="299"/>
      <c r="AB136" s="299"/>
      <c r="AC136" s="299"/>
      <c r="AD136" s="299"/>
      <c r="AE136" s="299"/>
      <c r="AF136" s="299"/>
      <c r="AG136" s="299"/>
      <c r="AH136" s="299"/>
      <c r="AI136" s="299"/>
      <c r="AJ136" s="299"/>
      <c r="AK136" s="299"/>
      <c r="AL136" s="299"/>
      <c r="AM136" s="299"/>
    </row>
    <row r="137" spans="1:39" ht="12.75">
      <c r="A137" s="299"/>
      <c r="B137" s="299"/>
      <c r="C137" s="299"/>
      <c r="D137" s="299"/>
      <c r="E137" s="299"/>
      <c r="F137" s="299"/>
      <c r="G137" s="299"/>
      <c r="H137" s="299"/>
      <c r="I137" s="299"/>
      <c r="J137" s="299"/>
      <c r="K137" s="299"/>
      <c r="L137" s="299"/>
      <c r="M137" s="299"/>
      <c r="N137" s="299"/>
      <c r="O137" s="299"/>
      <c r="P137" s="299"/>
      <c r="Q137" s="299"/>
      <c r="R137" s="299"/>
      <c r="S137" s="299"/>
      <c r="T137" s="299"/>
      <c r="U137" s="299"/>
      <c r="V137" s="299"/>
      <c r="W137" s="299"/>
      <c r="X137" s="299"/>
      <c r="Y137" s="299"/>
      <c r="Z137" s="299"/>
      <c r="AA137" s="299"/>
      <c r="AB137" s="299"/>
      <c r="AC137" s="299"/>
      <c r="AD137" s="299"/>
      <c r="AE137" s="299"/>
      <c r="AF137" s="299"/>
      <c r="AG137" s="299"/>
      <c r="AH137" s="299"/>
      <c r="AI137" s="299"/>
      <c r="AJ137" s="299"/>
      <c r="AK137" s="299"/>
      <c r="AL137" s="299"/>
      <c r="AM137" s="299"/>
    </row>
    <row r="138" spans="1:39" ht="12.75">
      <c r="A138" s="299"/>
      <c r="B138" s="299"/>
      <c r="C138" s="299"/>
      <c r="D138" s="299"/>
      <c r="E138" s="299"/>
      <c r="F138" s="299"/>
      <c r="G138" s="299"/>
      <c r="H138" s="299"/>
      <c r="I138" s="299"/>
      <c r="J138" s="299"/>
      <c r="K138" s="299"/>
      <c r="L138" s="299"/>
      <c r="M138" s="299"/>
      <c r="N138" s="299"/>
      <c r="O138" s="299"/>
      <c r="P138" s="299"/>
      <c r="Q138" s="299"/>
      <c r="R138" s="299"/>
      <c r="S138" s="299"/>
      <c r="T138" s="299"/>
      <c r="U138" s="299"/>
      <c r="V138" s="299"/>
      <c r="W138" s="299"/>
      <c r="X138" s="299"/>
      <c r="Y138" s="299"/>
      <c r="Z138" s="299"/>
      <c r="AA138" s="299"/>
      <c r="AB138" s="299"/>
      <c r="AC138" s="299"/>
      <c r="AD138" s="299"/>
      <c r="AE138" s="299"/>
      <c r="AF138" s="299"/>
      <c r="AG138" s="299"/>
      <c r="AH138" s="299"/>
      <c r="AI138" s="299"/>
      <c r="AJ138" s="299"/>
      <c r="AK138" s="299"/>
      <c r="AL138" s="299"/>
      <c r="AM138" s="299"/>
    </row>
    <row r="139" spans="1:39" ht="12.75">
      <c r="A139" s="299"/>
      <c r="B139" s="299"/>
      <c r="C139" s="299"/>
      <c r="D139" s="299"/>
      <c r="E139" s="299"/>
      <c r="F139" s="299"/>
      <c r="G139" s="299"/>
      <c r="H139" s="299"/>
      <c r="I139" s="299"/>
      <c r="J139" s="299"/>
      <c r="K139" s="299"/>
      <c r="L139" s="299"/>
      <c r="M139" s="299"/>
      <c r="N139" s="299"/>
      <c r="O139" s="299"/>
      <c r="P139" s="299"/>
      <c r="Q139" s="299"/>
      <c r="R139" s="299"/>
      <c r="S139" s="299"/>
      <c r="T139" s="299"/>
      <c r="U139" s="299"/>
      <c r="V139" s="299"/>
      <c r="W139" s="299"/>
      <c r="X139" s="299"/>
      <c r="Y139" s="299"/>
      <c r="Z139" s="299"/>
      <c r="AA139" s="299"/>
      <c r="AB139" s="299"/>
      <c r="AC139" s="299"/>
      <c r="AD139" s="299"/>
      <c r="AE139" s="299"/>
      <c r="AF139" s="299"/>
      <c r="AG139" s="299"/>
      <c r="AH139" s="299"/>
      <c r="AI139" s="299"/>
      <c r="AJ139" s="299"/>
      <c r="AK139" s="299"/>
      <c r="AL139" s="299"/>
      <c r="AM139" s="299"/>
    </row>
    <row r="140" spans="1:39" ht="12.75">
      <c r="A140" s="299"/>
      <c r="B140" s="299"/>
      <c r="C140" s="299"/>
      <c r="D140" s="299"/>
      <c r="E140" s="299"/>
      <c r="F140" s="299"/>
      <c r="G140" s="299"/>
      <c r="H140" s="299"/>
      <c r="I140" s="299"/>
      <c r="J140" s="299"/>
      <c r="K140" s="299"/>
      <c r="L140" s="299"/>
      <c r="M140" s="299"/>
      <c r="N140" s="299"/>
      <c r="O140" s="299"/>
      <c r="P140" s="299"/>
      <c r="Q140" s="299"/>
      <c r="R140" s="299"/>
      <c r="S140" s="299"/>
      <c r="T140" s="299"/>
      <c r="U140" s="299"/>
      <c r="V140" s="299"/>
      <c r="W140" s="299"/>
      <c r="X140" s="299"/>
      <c r="Y140" s="299"/>
      <c r="Z140" s="299"/>
      <c r="AA140" s="299"/>
      <c r="AB140" s="299"/>
      <c r="AC140" s="299"/>
      <c r="AD140" s="299"/>
      <c r="AE140" s="299"/>
      <c r="AF140" s="299"/>
      <c r="AG140" s="299"/>
      <c r="AH140" s="299"/>
      <c r="AI140" s="299"/>
      <c r="AJ140" s="299"/>
      <c r="AK140" s="299"/>
      <c r="AL140" s="299"/>
      <c r="AM140" s="299"/>
    </row>
    <row r="141" spans="1:39" ht="12.75">
      <c r="A141" s="299"/>
      <c r="B141" s="299"/>
      <c r="C141" s="299"/>
      <c r="D141" s="299"/>
      <c r="E141" s="299"/>
      <c r="F141" s="299"/>
      <c r="G141" s="299"/>
      <c r="H141" s="299"/>
      <c r="I141" s="299"/>
      <c r="J141" s="299"/>
      <c r="K141" s="299"/>
      <c r="L141" s="299"/>
      <c r="M141" s="299"/>
      <c r="N141" s="299"/>
      <c r="O141" s="299"/>
      <c r="P141" s="299"/>
      <c r="Q141" s="299"/>
      <c r="R141" s="299"/>
      <c r="S141" s="299"/>
      <c r="T141" s="299"/>
      <c r="U141" s="299"/>
      <c r="V141" s="299"/>
      <c r="W141" s="299"/>
      <c r="X141" s="299"/>
      <c r="Y141" s="299"/>
      <c r="Z141" s="299"/>
      <c r="AA141" s="299"/>
      <c r="AB141" s="299"/>
      <c r="AC141" s="299"/>
      <c r="AD141" s="299"/>
      <c r="AE141" s="299"/>
      <c r="AF141" s="299"/>
      <c r="AG141" s="299"/>
      <c r="AH141" s="299"/>
      <c r="AI141" s="299"/>
      <c r="AJ141" s="299"/>
      <c r="AK141" s="299"/>
      <c r="AL141" s="299"/>
      <c r="AM141" s="299"/>
    </row>
    <row r="142" spans="1:39" ht="12.75">
      <c r="A142" s="299"/>
      <c r="B142" s="299"/>
      <c r="C142" s="299"/>
      <c r="D142" s="299"/>
      <c r="E142" s="299"/>
      <c r="F142" s="299"/>
      <c r="G142" s="299"/>
      <c r="H142" s="299"/>
      <c r="I142" s="299"/>
      <c r="J142" s="299"/>
      <c r="K142" s="299"/>
      <c r="L142" s="299"/>
      <c r="M142" s="299"/>
      <c r="N142" s="299"/>
      <c r="O142" s="299"/>
      <c r="P142" s="299"/>
      <c r="Q142" s="299"/>
      <c r="R142" s="299"/>
      <c r="S142" s="299"/>
      <c r="T142" s="299"/>
      <c r="U142" s="299"/>
      <c r="V142" s="299"/>
      <c r="W142" s="299"/>
      <c r="X142" s="299"/>
      <c r="Y142" s="299"/>
      <c r="Z142" s="299"/>
      <c r="AA142" s="299"/>
      <c r="AB142" s="299"/>
      <c r="AC142" s="299"/>
      <c r="AD142" s="299"/>
      <c r="AE142" s="299"/>
      <c r="AF142" s="299"/>
      <c r="AG142" s="299"/>
      <c r="AH142" s="299"/>
      <c r="AI142" s="299"/>
      <c r="AJ142" s="299"/>
      <c r="AK142" s="299"/>
      <c r="AL142" s="299"/>
      <c r="AM142" s="299"/>
    </row>
    <row r="143" spans="1:39" ht="12.75">
      <c r="A143" s="299"/>
      <c r="B143" s="299"/>
      <c r="C143" s="299"/>
      <c r="D143" s="299"/>
      <c r="E143" s="299"/>
      <c r="F143" s="299"/>
      <c r="G143" s="299"/>
      <c r="H143" s="299"/>
      <c r="I143" s="299"/>
      <c r="J143" s="299"/>
      <c r="K143" s="299"/>
      <c r="L143" s="299"/>
      <c r="M143" s="299"/>
      <c r="N143" s="299"/>
      <c r="O143" s="299"/>
      <c r="P143" s="299"/>
      <c r="Q143" s="299"/>
      <c r="R143" s="299"/>
      <c r="S143" s="299"/>
      <c r="T143" s="299"/>
      <c r="U143" s="299"/>
      <c r="V143" s="299"/>
      <c r="W143" s="299"/>
      <c r="X143" s="299"/>
      <c r="Y143" s="299"/>
      <c r="Z143" s="299"/>
      <c r="AA143" s="299"/>
      <c r="AB143" s="299"/>
      <c r="AC143" s="299"/>
      <c r="AD143" s="299"/>
      <c r="AE143" s="299"/>
      <c r="AF143" s="299"/>
      <c r="AG143" s="299"/>
      <c r="AH143" s="299"/>
      <c r="AI143" s="299"/>
      <c r="AJ143" s="299"/>
      <c r="AK143" s="299"/>
      <c r="AL143" s="299"/>
      <c r="AM143" s="299"/>
    </row>
    <row r="144" spans="1:39" ht="12.75">
      <c r="A144" s="299"/>
      <c r="B144" s="299"/>
      <c r="C144" s="299"/>
      <c r="D144" s="299"/>
      <c r="E144" s="299"/>
      <c r="F144" s="299"/>
      <c r="G144" s="299"/>
      <c r="H144" s="299"/>
      <c r="I144" s="299"/>
      <c r="J144" s="299"/>
      <c r="K144" s="299"/>
      <c r="L144" s="299"/>
      <c r="M144" s="299"/>
      <c r="N144" s="299"/>
      <c r="O144" s="299"/>
      <c r="P144" s="299"/>
      <c r="Q144" s="299"/>
      <c r="R144" s="299"/>
      <c r="S144" s="299"/>
      <c r="T144" s="299"/>
      <c r="U144" s="299"/>
      <c r="V144" s="299"/>
      <c r="W144" s="299"/>
      <c r="X144" s="299"/>
      <c r="Y144" s="299"/>
      <c r="Z144" s="299"/>
      <c r="AA144" s="299"/>
      <c r="AB144" s="299"/>
      <c r="AC144" s="299"/>
      <c r="AD144" s="299"/>
      <c r="AE144" s="299"/>
      <c r="AF144" s="299"/>
      <c r="AG144" s="299"/>
      <c r="AH144" s="299"/>
      <c r="AI144" s="299"/>
      <c r="AJ144" s="299"/>
      <c r="AK144" s="299"/>
      <c r="AL144" s="299"/>
      <c r="AM144" s="299"/>
    </row>
    <row r="145" spans="1:39" ht="12.75">
      <c r="A145" s="299"/>
      <c r="B145" s="299"/>
      <c r="C145" s="299"/>
      <c r="D145" s="299"/>
      <c r="E145" s="299"/>
      <c r="F145" s="299"/>
      <c r="G145" s="299"/>
      <c r="H145" s="299"/>
      <c r="I145" s="299"/>
      <c r="J145" s="299"/>
      <c r="K145" s="299"/>
      <c r="L145" s="299"/>
      <c r="M145" s="299"/>
      <c r="N145" s="299"/>
      <c r="O145" s="299"/>
      <c r="P145" s="299"/>
      <c r="Q145" s="299"/>
      <c r="R145" s="299"/>
      <c r="S145" s="299"/>
      <c r="T145" s="299"/>
      <c r="U145" s="299"/>
      <c r="V145" s="299"/>
      <c r="W145" s="299"/>
      <c r="X145" s="299"/>
      <c r="Y145" s="299"/>
      <c r="Z145" s="299"/>
      <c r="AA145" s="299"/>
      <c r="AB145" s="299"/>
      <c r="AC145" s="299"/>
      <c r="AD145" s="299"/>
      <c r="AE145" s="299"/>
      <c r="AF145" s="299"/>
      <c r="AG145" s="299"/>
      <c r="AH145" s="299"/>
      <c r="AI145" s="299"/>
      <c r="AJ145" s="299"/>
      <c r="AK145" s="299"/>
      <c r="AL145" s="299"/>
      <c r="AM145" s="299"/>
    </row>
    <row r="146" spans="1:39" ht="12.75">
      <c r="A146" s="299"/>
      <c r="B146" s="299"/>
      <c r="C146" s="299"/>
      <c r="D146" s="299"/>
      <c r="E146" s="299"/>
      <c r="F146" s="299"/>
      <c r="G146" s="299"/>
      <c r="H146" s="299"/>
      <c r="I146" s="299"/>
      <c r="J146" s="299"/>
      <c r="K146" s="299"/>
      <c r="L146" s="299"/>
      <c r="M146" s="299"/>
      <c r="N146" s="299"/>
      <c r="O146" s="299"/>
      <c r="P146" s="299"/>
      <c r="Q146" s="299"/>
      <c r="R146" s="299"/>
      <c r="S146" s="299"/>
      <c r="T146" s="299"/>
      <c r="U146" s="299"/>
      <c r="V146" s="299"/>
      <c r="W146" s="299"/>
      <c r="X146" s="299"/>
      <c r="Y146" s="299"/>
      <c r="Z146" s="299"/>
      <c r="AA146" s="299"/>
      <c r="AB146" s="299"/>
      <c r="AC146" s="299"/>
      <c r="AD146" s="299"/>
      <c r="AE146" s="299"/>
      <c r="AF146" s="299"/>
      <c r="AG146" s="299"/>
      <c r="AH146" s="299"/>
      <c r="AI146" s="299"/>
      <c r="AJ146" s="299"/>
      <c r="AK146" s="299"/>
      <c r="AL146" s="299"/>
      <c r="AM146" s="299"/>
    </row>
    <row r="147" spans="1:39" ht="12.75">
      <c r="A147" s="299"/>
      <c r="B147" s="299"/>
      <c r="C147" s="299"/>
      <c r="D147" s="299"/>
      <c r="E147" s="299"/>
      <c r="F147" s="299"/>
      <c r="G147" s="299"/>
      <c r="H147" s="299"/>
      <c r="I147" s="299"/>
      <c r="J147" s="299"/>
      <c r="K147" s="299"/>
      <c r="L147" s="299"/>
      <c r="M147" s="299"/>
      <c r="N147" s="299"/>
      <c r="O147" s="299"/>
      <c r="P147" s="299"/>
      <c r="Q147" s="299"/>
      <c r="R147" s="299"/>
      <c r="S147" s="299"/>
      <c r="T147" s="299"/>
      <c r="U147" s="299"/>
      <c r="V147" s="299"/>
      <c r="W147" s="299"/>
      <c r="X147" s="299"/>
      <c r="Y147" s="299"/>
      <c r="Z147" s="299"/>
      <c r="AA147" s="299"/>
      <c r="AB147" s="299"/>
      <c r="AC147" s="299"/>
      <c r="AD147" s="299"/>
      <c r="AE147" s="299"/>
      <c r="AF147" s="299"/>
      <c r="AG147" s="299"/>
      <c r="AH147" s="299"/>
      <c r="AI147" s="299"/>
      <c r="AJ147" s="299"/>
      <c r="AK147" s="299"/>
      <c r="AL147" s="299"/>
      <c r="AM147" s="299"/>
    </row>
    <row r="148" spans="1:39" ht="12.75">
      <c r="A148" s="299"/>
      <c r="B148" s="299"/>
      <c r="C148" s="299"/>
      <c r="D148" s="299"/>
      <c r="E148" s="299"/>
      <c r="F148" s="299"/>
      <c r="G148" s="299"/>
      <c r="H148" s="299"/>
      <c r="I148" s="299"/>
      <c r="J148" s="299"/>
      <c r="K148" s="299"/>
      <c r="L148" s="299"/>
      <c r="M148" s="299"/>
      <c r="N148" s="299"/>
      <c r="O148" s="299"/>
      <c r="P148" s="299"/>
      <c r="Q148" s="299"/>
      <c r="R148" s="299"/>
      <c r="S148" s="299"/>
      <c r="T148" s="299"/>
      <c r="U148" s="299"/>
      <c r="V148" s="299"/>
      <c r="W148" s="299"/>
      <c r="X148" s="299"/>
      <c r="Y148" s="299"/>
      <c r="Z148" s="299"/>
      <c r="AA148" s="299"/>
      <c r="AB148" s="299"/>
      <c r="AC148" s="299"/>
      <c r="AD148" s="299"/>
      <c r="AE148" s="299"/>
      <c r="AF148" s="299"/>
      <c r="AG148" s="299"/>
      <c r="AH148" s="299"/>
      <c r="AI148" s="299"/>
      <c r="AJ148" s="299"/>
      <c r="AK148" s="299"/>
      <c r="AL148" s="299"/>
      <c r="AM148" s="299"/>
    </row>
  </sheetData>
  <sheetProtection password="CE28" sheet="1" objects="1" scenarios="1" formatCells="0" formatColumns="0" formatRows="0"/>
  <mergeCells count="15">
    <mergeCell ref="B2:G2"/>
    <mergeCell ref="J5:K5"/>
    <mergeCell ref="J13:K13"/>
    <mergeCell ref="J22:K22"/>
    <mergeCell ref="B22:G22"/>
    <mergeCell ref="M14:M15"/>
    <mergeCell ref="N14:S14"/>
    <mergeCell ref="B4:D4"/>
    <mergeCell ref="F4:H4"/>
    <mergeCell ref="J4:K4"/>
    <mergeCell ref="M4:R4"/>
    <mergeCell ref="B5:B6"/>
    <mergeCell ref="C5:D5"/>
    <mergeCell ref="F5:F6"/>
    <mergeCell ref="G5:H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AL247"/>
  <sheetViews>
    <sheetView zoomScalePageLayoutView="0" workbookViewId="0" topLeftCell="A4">
      <selection activeCell="J9" sqref="J9"/>
    </sheetView>
  </sheetViews>
  <sheetFormatPr defaultColWidth="9.140625" defaultRowHeight="15"/>
  <cols>
    <col min="1" max="1" width="3.28125" style="78" customWidth="1"/>
    <col min="2" max="2" width="5.421875" style="78" customWidth="1"/>
    <col min="3" max="3" width="13.00390625" style="77" customWidth="1"/>
    <col min="4" max="5" width="9.140625" style="77" customWidth="1"/>
    <col min="6" max="6" width="11.140625" style="77" customWidth="1"/>
    <col min="7" max="7" width="9.140625" style="77" customWidth="1"/>
    <col min="8" max="8" width="8.140625" style="77" customWidth="1"/>
    <col min="9" max="9" width="21.28125" style="77" customWidth="1"/>
    <col min="10" max="13" width="9.140625" style="77" customWidth="1"/>
    <col min="14" max="14" width="21.7109375" style="77" customWidth="1"/>
    <col min="15" max="16" width="9.140625" style="77" customWidth="1"/>
    <col min="17" max="17" width="9.7109375" style="77" customWidth="1"/>
    <col min="18" max="23" width="9.140625" style="77" customWidth="1"/>
    <col min="24" max="24" width="20.421875" style="77" customWidth="1"/>
    <col min="25" max="25" width="12.7109375" style="77" customWidth="1"/>
    <col min="26" max="26" width="10.140625" style="77" customWidth="1"/>
    <col min="27" max="27" width="9.140625" style="78" customWidth="1"/>
    <col min="28" max="28" width="11.8515625" style="78" customWidth="1"/>
    <col min="29" max="31" width="9.140625" style="78" customWidth="1"/>
    <col min="32" max="32" width="13.00390625" style="78" customWidth="1"/>
    <col min="33" max="33" width="10.28125" style="78" customWidth="1"/>
    <col min="34" max="16384" width="9.140625" style="78" customWidth="1"/>
  </cols>
  <sheetData>
    <row r="5" spans="3:8" ht="21.75" customHeight="1">
      <c r="C5" s="380" t="s">
        <v>71</v>
      </c>
      <c r="D5" s="401" t="s">
        <v>109</v>
      </c>
      <c r="E5" s="401"/>
      <c r="F5" s="401"/>
      <c r="G5" s="401"/>
      <c r="H5" s="401"/>
    </row>
    <row r="6" spans="3:8" ht="34.5" customHeight="1">
      <c r="C6" s="380"/>
      <c r="D6" s="380" t="s">
        <v>72</v>
      </c>
      <c r="E6" s="115" t="s">
        <v>73</v>
      </c>
      <c r="F6" s="379" t="s">
        <v>137</v>
      </c>
      <c r="G6" s="379" t="s">
        <v>110</v>
      </c>
      <c r="H6" s="379" t="s">
        <v>110</v>
      </c>
    </row>
    <row r="7" spans="3:8" ht="11.25">
      <c r="C7" s="380"/>
      <c r="D7" s="380"/>
      <c r="E7" s="115"/>
      <c r="F7" s="379"/>
      <c r="G7" s="379"/>
      <c r="H7" s="379"/>
    </row>
    <row r="8" spans="3:8" ht="11.25">
      <c r="C8" s="115" t="str">
        <f>Cable!C7</f>
        <v>1cX0.5</v>
      </c>
      <c r="D8" s="115">
        <f>Cable!D7</f>
        <v>39</v>
      </c>
      <c r="E8" s="115">
        <f>Cable!E7</f>
        <v>0</v>
      </c>
      <c r="F8" s="115">
        <f>Cable!F7</f>
        <v>4</v>
      </c>
      <c r="G8" s="115">
        <f>Cable!G7</f>
        <v>4</v>
      </c>
      <c r="H8" s="116">
        <f>Cable!H7</f>
        <v>0.4</v>
      </c>
    </row>
    <row r="9" spans="3:16" ht="11.25">
      <c r="C9" s="115" t="str">
        <f>Cable!C8</f>
        <v>1cX0.75</v>
      </c>
      <c r="D9" s="115">
        <f>Cable!D8</f>
        <v>26</v>
      </c>
      <c r="E9" s="115">
        <f>Cable!E8</f>
        <v>0</v>
      </c>
      <c r="F9" s="115">
        <f>Cable!F8</f>
        <v>7</v>
      </c>
      <c r="G9" s="115">
        <f>Cable!G8</f>
        <v>7</v>
      </c>
      <c r="H9" s="116">
        <f>Cable!H8</f>
        <v>0.4</v>
      </c>
      <c r="P9" s="79"/>
    </row>
    <row r="10" spans="3:8" ht="11.25">
      <c r="C10" s="115" t="str">
        <f>Cable!C9</f>
        <v>1cX1</v>
      </c>
      <c r="D10" s="115">
        <f>Cable!D9</f>
        <v>19.5</v>
      </c>
      <c r="E10" s="115">
        <f>Cable!E9</f>
        <v>0</v>
      </c>
      <c r="F10" s="115">
        <f>Cable!F9</f>
        <v>11</v>
      </c>
      <c r="G10" s="115">
        <f>Cable!G9</f>
        <v>11</v>
      </c>
      <c r="H10" s="116">
        <f>Cable!H9</f>
        <v>0.4</v>
      </c>
    </row>
    <row r="11" spans="3:9" ht="11.25">
      <c r="C11" s="115" t="str">
        <f>Cable!C10</f>
        <v>1cX1.5</v>
      </c>
      <c r="D11" s="115">
        <f>Cable!D10</f>
        <v>13.3</v>
      </c>
      <c r="E11" s="115">
        <f>Cable!E10</f>
        <v>0</v>
      </c>
      <c r="F11" s="115">
        <f>Cable!F10</f>
        <v>15</v>
      </c>
      <c r="G11" s="115">
        <f>Cable!G10</f>
        <v>15</v>
      </c>
      <c r="H11" s="116">
        <f>Cable!H10</f>
        <v>0.4</v>
      </c>
      <c r="I11" s="80" t="str">
        <f>'Cable  Selection'!C27</f>
        <v>HT XLPE ( 11 KV-Un Earthed)</v>
      </c>
    </row>
    <row r="12" spans="3:9" ht="12" thickBot="1">
      <c r="C12" s="115" t="str">
        <f>Cable!C11</f>
        <v>1cX2.5</v>
      </c>
      <c r="D12" s="115">
        <f>Cable!D11</f>
        <v>7.98</v>
      </c>
      <c r="E12" s="115">
        <f>Cable!E11</f>
        <v>0</v>
      </c>
      <c r="F12" s="115">
        <f>Cable!F11</f>
        <v>19</v>
      </c>
      <c r="G12" s="115">
        <f>Cable!G11</f>
        <v>19</v>
      </c>
      <c r="H12" s="116">
        <f>Cable!H11</f>
        <v>0.4</v>
      </c>
      <c r="I12" s="80" t="str">
        <f>'Cable  Selection'!D27</f>
        <v>1cX1000  </v>
      </c>
    </row>
    <row r="13" spans="3:38" ht="12.75" customHeight="1" thickBot="1">
      <c r="C13" s="115" t="str">
        <f>Cable!C12</f>
        <v>1cX4</v>
      </c>
      <c r="D13" s="115">
        <f>Cable!D12</f>
        <v>4.95</v>
      </c>
      <c r="E13" s="115">
        <f>Cable!E12</f>
        <v>0</v>
      </c>
      <c r="F13" s="115">
        <f>Cable!F12</f>
        <v>26</v>
      </c>
      <c r="G13" s="115">
        <f>Cable!G12</f>
        <v>26</v>
      </c>
      <c r="H13" s="116" t="str">
        <f>Cable!H12</f>
        <v> 0.460  </v>
      </c>
      <c r="I13" s="80" t="str">
        <f>'Cable  Selection'!E27</f>
        <v>CU</v>
      </c>
      <c r="N13" s="81" t="s">
        <v>119</v>
      </c>
      <c r="R13" s="394" t="s">
        <v>24</v>
      </c>
      <c r="S13" s="395"/>
      <c r="T13" s="407"/>
      <c r="U13" s="394" t="s">
        <v>28</v>
      </c>
      <c r="V13" s="395"/>
      <c r="W13" s="395"/>
      <c r="X13" s="396" t="s">
        <v>30</v>
      </c>
      <c r="Y13" s="397"/>
      <c r="Z13" s="384" t="s">
        <v>43</v>
      </c>
      <c r="AA13" s="385"/>
      <c r="AB13" s="385"/>
      <c r="AC13" s="385"/>
      <c r="AD13" s="385"/>
      <c r="AE13" s="385"/>
      <c r="AF13" s="402" t="s">
        <v>15</v>
      </c>
      <c r="AG13" s="404" t="s">
        <v>16</v>
      </c>
      <c r="AH13" s="404"/>
      <c r="AI13" s="404"/>
      <c r="AJ13" s="404"/>
      <c r="AK13" s="404"/>
      <c r="AL13" s="405"/>
    </row>
    <row r="14" spans="3:38" ht="12.75" customHeight="1">
      <c r="C14" s="115" t="str">
        <f>Cable!C13</f>
        <v>1cX6</v>
      </c>
      <c r="D14" s="115">
        <f>Cable!D13</f>
        <v>3.3</v>
      </c>
      <c r="E14" s="115">
        <f>Cable!E13</f>
        <v>0</v>
      </c>
      <c r="F14" s="115">
        <f>Cable!F13</f>
        <v>35</v>
      </c>
      <c r="G14" s="115">
        <f>Cable!G13</f>
        <v>35</v>
      </c>
      <c r="H14" s="116" t="str">
        <f>Cable!H13</f>
        <v> 0.690  </v>
      </c>
      <c r="I14" s="80">
        <f>'Cable  Selection'!D17</f>
        <v>2</v>
      </c>
      <c r="N14" s="83" t="s">
        <v>124</v>
      </c>
      <c r="R14" s="390" t="s">
        <v>25</v>
      </c>
      <c r="S14" s="392" t="s">
        <v>26</v>
      </c>
      <c r="T14" s="406"/>
      <c r="U14" s="390" t="s">
        <v>29</v>
      </c>
      <c r="V14" s="392" t="s">
        <v>26</v>
      </c>
      <c r="W14" s="393"/>
      <c r="X14" s="391" t="s">
        <v>31</v>
      </c>
      <c r="Y14" s="398"/>
      <c r="Z14" s="133" t="s">
        <v>42</v>
      </c>
      <c r="AA14" s="85" t="s">
        <v>44</v>
      </c>
      <c r="AB14" s="85" t="s">
        <v>45</v>
      </c>
      <c r="AC14" s="85" t="s">
        <v>46</v>
      </c>
      <c r="AD14" s="85" t="s">
        <v>47</v>
      </c>
      <c r="AE14" s="139" t="s">
        <v>48</v>
      </c>
      <c r="AF14" s="403"/>
      <c r="AG14" s="86">
        <v>1</v>
      </c>
      <c r="AH14" s="86">
        <v>2</v>
      </c>
      <c r="AI14" s="87">
        <v>3</v>
      </c>
      <c r="AJ14" s="82">
        <v>4</v>
      </c>
      <c r="AK14" s="82">
        <v>6</v>
      </c>
      <c r="AL14" s="127">
        <v>8</v>
      </c>
    </row>
    <row r="15" spans="3:38" ht="15" customHeight="1">
      <c r="C15" s="115" t="str">
        <f>Cable!C14</f>
        <v>1cX10</v>
      </c>
      <c r="D15" s="115">
        <f>Cable!D14</f>
        <v>1.91</v>
      </c>
      <c r="E15" s="115">
        <f>Cable!E14</f>
        <v>0</v>
      </c>
      <c r="F15" s="115">
        <f>Cable!F14</f>
        <v>46</v>
      </c>
      <c r="G15" s="115">
        <f>Cable!G14</f>
        <v>46</v>
      </c>
      <c r="H15" s="116" t="str">
        <f>Cable!H14</f>
        <v> 1.150  </v>
      </c>
      <c r="N15" s="83" t="s">
        <v>123</v>
      </c>
      <c r="R15" s="391"/>
      <c r="S15" s="84" t="s">
        <v>1</v>
      </c>
      <c r="T15" s="89" t="s">
        <v>27</v>
      </c>
      <c r="U15" s="391"/>
      <c r="V15" s="84" t="s">
        <v>1</v>
      </c>
      <c r="W15" s="126" t="s">
        <v>27</v>
      </c>
      <c r="X15" s="88" t="s">
        <v>32</v>
      </c>
      <c r="Y15" s="89" t="s">
        <v>33</v>
      </c>
      <c r="Z15" s="133">
        <v>1</v>
      </c>
      <c r="AA15" s="85">
        <f>'Correcction Factor'!N6</f>
        <v>1</v>
      </c>
      <c r="AB15" s="85">
        <f>'Correcction Factor'!O6</f>
        <v>1</v>
      </c>
      <c r="AC15" s="85">
        <f>'Correcction Factor'!P6</f>
        <v>1</v>
      </c>
      <c r="AD15" s="85">
        <f>'Correcction Factor'!Q6</f>
        <v>1</v>
      </c>
      <c r="AE15" s="139">
        <f>'Correcction Factor'!R6</f>
        <v>1</v>
      </c>
      <c r="AF15" s="128">
        <v>1</v>
      </c>
      <c r="AG15" s="90">
        <f>'Correcction Factor'!N16</f>
        <v>1</v>
      </c>
      <c r="AH15" s="90">
        <f>'Correcction Factor'!O16</f>
        <v>1</v>
      </c>
      <c r="AI15" s="90">
        <f>'Correcction Factor'!P16</f>
        <v>1</v>
      </c>
      <c r="AJ15" s="90">
        <f>'Correcction Factor'!Q16</f>
        <v>1</v>
      </c>
      <c r="AK15" s="90">
        <f>'Correcction Factor'!R16</f>
        <v>1</v>
      </c>
      <c r="AL15" s="141">
        <f>'Correcction Factor'!S16</f>
        <v>1</v>
      </c>
    </row>
    <row r="16" spans="3:38" ht="12.75">
      <c r="C16" s="115" t="str">
        <f>Cable!C15</f>
        <v>1cX16</v>
      </c>
      <c r="D16" s="115">
        <f>Cable!D15</f>
        <v>1.21</v>
      </c>
      <c r="E16" s="115">
        <f>Cable!E15</f>
        <v>0</v>
      </c>
      <c r="F16" s="115">
        <f>Cable!F15</f>
        <v>62</v>
      </c>
      <c r="G16" s="115">
        <f>Cable!G15</f>
        <v>62</v>
      </c>
      <c r="H16" s="116" t="str">
        <f>Cable!H15</f>
        <v> 1.84  </v>
      </c>
      <c r="N16" s="83" t="s">
        <v>118</v>
      </c>
      <c r="R16" s="88">
        <v>10</v>
      </c>
      <c r="S16" s="84">
        <f>'Correcction Factor'!C7</f>
        <v>1.22</v>
      </c>
      <c r="T16" s="89">
        <f>'Correcction Factor'!D7</f>
        <v>1.15</v>
      </c>
      <c r="U16" s="88">
        <v>10</v>
      </c>
      <c r="V16" s="84">
        <f>'Correcction Factor'!G7</f>
        <v>1.1</v>
      </c>
      <c r="W16" s="126">
        <f>'Correcction Factor'!H7</f>
        <v>1.07</v>
      </c>
      <c r="X16" s="88">
        <v>1</v>
      </c>
      <c r="Y16" s="89">
        <f>'Correcction Factor'!K7</f>
        <v>1.18</v>
      </c>
      <c r="Z16" s="133">
        <v>2</v>
      </c>
      <c r="AA16" s="85">
        <f>'Correcction Factor'!N7</f>
        <v>0.75</v>
      </c>
      <c r="AB16" s="85">
        <f>'Correcction Factor'!O7</f>
        <v>0.8</v>
      </c>
      <c r="AC16" s="85">
        <f>'Correcction Factor'!P7</f>
        <v>0.85</v>
      </c>
      <c r="AD16" s="85">
        <f>'Correcction Factor'!Q7</f>
        <v>0.9</v>
      </c>
      <c r="AE16" s="139">
        <f>'Correcction Factor'!R7</f>
        <v>0.9</v>
      </c>
      <c r="AF16" s="128">
        <v>2</v>
      </c>
      <c r="AG16" s="90">
        <f>'Correcction Factor'!N17</f>
        <v>0.84</v>
      </c>
      <c r="AH16" s="90">
        <f>'Correcction Factor'!O17</f>
        <v>0.8</v>
      </c>
      <c r="AI16" s="90">
        <f>'Correcction Factor'!P17</f>
        <v>0.78</v>
      </c>
      <c r="AJ16" s="90">
        <f>'Correcction Factor'!Q17</f>
        <v>0.77</v>
      </c>
      <c r="AK16" s="90">
        <f>'Correcction Factor'!R17</f>
        <v>0.76</v>
      </c>
      <c r="AL16" s="141">
        <f>'Correcction Factor'!S17</f>
        <v>0.75</v>
      </c>
    </row>
    <row r="17" spans="3:38" ht="12.75">
      <c r="C17" s="115" t="str">
        <f>Cable!C16</f>
        <v>1cX25</v>
      </c>
      <c r="D17" s="115">
        <f>Cable!D16</f>
        <v>0.78</v>
      </c>
      <c r="E17" s="115">
        <f>Cable!E16</f>
        <v>0</v>
      </c>
      <c r="F17" s="115">
        <f>Cable!F16</f>
        <v>80</v>
      </c>
      <c r="G17" s="115">
        <f>Cable!G16</f>
        <v>80</v>
      </c>
      <c r="H17" s="116" t="str">
        <f>Cable!H16</f>
        <v> 2.88  </v>
      </c>
      <c r="N17" s="83" t="s">
        <v>120</v>
      </c>
      <c r="R17" s="88">
        <v>15</v>
      </c>
      <c r="S17" s="84">
        <f>'Correcction Factor'!C8</f>
        <v>1.17</v>
      </c>
      <c r="T17" s="89">
        <f>'Correcction Factor'!D8</f>
        <v>1.12</v>
      </c>
      <c r="U17" s="88">
        <v>15</v>
      </c>
      <c r="V17" s="84">
        <f>'Correcction Factor'!G8</f>
        <v>1.05</v>
      </c>
      <c r="W17" s="126">
        <f>'Correcction Factor'!H8</f>
        <v>1.04</v>
      </c>
      <c r="X17" s="88">
        <v>1.5</v>
      </c>
      <c r="Y17" s="89">
        <f>'Correcction Factor'!K8</f>
        <v>1.1</v>
      </c>
      <c r="Z17" s="133">
        <v>3</v>
      </c>
      <c r="AA17" s="85">
        <f>'Correcction Factor'!N8</f>
        <v>0.65</v>
      </c>
      <c r="AB17" s="85">
        <f>'Correcction Factor'!O8</f>
        <v>0.7</v>
      </c>
      <c r="AC17" s="85">
        <f>'Correcction Factor'!P8</f>
        <v>0.75</v>
      </c>
      <c r="AD17" s="85">
        <f>'Correcction Factor'!Q8</f>
        <v>0.8</v>
      </c>
      <c r="AE17" s="139">
        <f>'Correcction Factor'!R8</f>
        <v>0.85</v>
      </c>
      <c r="AF17" s="128">
        <v>3</v>
      </c>
      <c r="AG17" s="90">
        <f>'Correcction Factor'!N18</f>
        <v>0.8</v>
      </c>
      <c r="AH17" s="90">
        <f>'Correcction Factor'!O18</f>
        <v>0.76</v>
      </c>
      <c r="AI17" s="90">
        <f>'Correcction Factor'!P18</f>
        <v>0.74</v>
      </c>
      <c r="AJ17" s="90">
        <f>'Correcction Factor'!Q18</f>
        <v>0.73</v>
      </c>
      <c r="AK17" s="90">
        <f>'Correcction Factor'!R18</f>
        <v>0.72</v>
      </c>
      <c r="AL17" s="141">
        <f>'Correcction Factor'!S18</f>
        <v>0.71</v>
      </c>
    </row>
    <row r="18" spans="3:38" ht="12.75">
      <c r="C18" s="115" t="str">
        <f>Cable!C17</f>
        <v>1cX35</v>
      </c>
      <c r="D18" s="115">
        <f>Cable!D17</f>
        <v>0.554</v>
      </c>
      <c r="E18" s="115">
        <f>Cable!E17</f>
        <v>0</v>
      </c>
      <c r="F18" s="115">
        <f>Cable!F17</f>
        <v>102</v>
      </c>
      <c r="G18" s="115">
        <f>Cable!G17</f>
        <v>102</v>
      </c>
      <c r="H18" s="116" t="str">
        <f>Cable!H17</f>
        <v> 4.03  </v>
      </c>
      <c r="N18" s="83" t="s">
        <v>121</v>
      </c>
      <c r="R18" s="88">
        <v>20</v>
      </c>
      <c r="S18" s="84">
        <f>'Correcction Factor'!C9</f>
        <v>1.12</v>
      </c>
      <c r="T18" s="89">
        <f>'Correcction Factor'!D9</f>
        <v>1.08</v>
      </c>
      <c r="U18" s="88">
        <v>20</v>
      </c>
      <c r="V18" s="84">
        <f>'Correcction Factor'!G9</f>
        <v>0.95</v>
      </c>
      <c r="W18" s="126">
        <f>'Correcction Factor'!H9</f>
        <v>0.96</v>
      </c>
      <c r="X18" s="88">
        <v>2</v>
      </c>
      <c r="Y18" s="89">
        <f>'Correcction Factor'!K9</f>
        <v>1.05</v>
      </c>
      <c r="Z18" s="135">
        <v>4</v>
      </c>
      <c r="AA18" s="85">
        <f>'Correcction Factor'!N9</f>
        <v>0.6</v>
      </c>
      <c r="AB18" s="85">
        <f>'Correcction Factor'!O9</f>
        <v>0.6</v>
      </c>
      <c r="AC18" s="85">
        <f>'Correcction Factor'!P9</f>
        <v>0.7</v>
      </c>
      <c r="AD18" s="85">
        <f>'Correcction Factor'!Q9</f>
        <v>0.75</v>
      </c>
      <c r="AE18" s="139">
        <f>'Correcction Factor'!R9</f>
        <v>0.8</v>
      </c>
      <c r="AF18" s="128">
        <v>4</v>
      </c>
      <c r="AG18" s="90">
        <f>'Correcction Factor'!N19</f>
        <v>0.78</v>
      </c>
      <c r="AH18" s="90">
        <f>'Correcction Factor'!O19</f>
        <v>0.74</v>
      </c>
      <c r="AI18" s="90">
        <f>'Correcction Factor'!P19</f>
        <v>0.72</v>
      </c>
      <c r="AJ18" s="90">
        <f>'Correcction Factor'!Q19</f>
        <v>0.71</v>
      </c>
      <c r="AK18" s="90">
        <f>'Correcction Factor'!R19</f>
        <v>0.7</v>
      </c>
      <c r="AL18" s="141">
        <f>'Correcction Factor'!S19</f>
        <v>0.69</v>
      </c>
    </row>
    <row r="19" spans="3:38" ht="12.75">
      <c r="C19" s="115" t="str">
        <f>Cable!C18</f>
        <v>1cX50</v>
      </c>
      <c r="D19" s="115">
        <f>Cable!D18</f>
        <v>0.386</v>
      </c>
      <c r="E19" s="115">
        <f>Cable!E18</f>
        <v>0</v>
      </c>
      <c r="F19" s="115">
        <f>Cable!F18</f>
        <v>138</v>
      </c>
      <c r="G19" s="115">
        <f>Cable!G18</f>
        <v>138</v>
      </c>
      <c r="H19" s="116" t="str">
        <f>Cable!H18</f>
        <v> 5.75  </v>
      </c>
      <c r="N19" s="91" t="s">
        <v>122</v>
      </c>
      <c r="R19" s="88">
        <v>25</v>
      </c>
      <c r="S19" s="84">
        <f>'Correcction Factor'!C10</f>
        <v>1.06</v>
      </c>
      <c r="T19" s="89">
        <f>'Correcction Factor'!D10</f>
        <v>1.04</v>
      </c>
      <c r="U19" s="88">
        <v>25</v>
      </c>
      <c r="V19" s="84">
        <f>'Correcction Factor'!G10</f>
        <v>0.89</v>
      </c>
      <c r="W19" s="126">
        <f>'Correcction Factor'!H10</f>
        <v>0.93</v>
      </c>
      <c r="X19" s="88">
        <v>2.5</v>
      </c>
      <c r="Y19" s="89">
        <f>'Correcction Factor'!K10</f>
        <v>1</v>
      </c>
      <c r="Z19" s="133">
        <v>5</v>
      </c>
      <c r="AA19" s="85">
        <f>'Correcction Factor'!N10</f>
        <v>0.55</v>
      </c>
      <c r="AB19" s="85">
        <f>'Correcction Factor'!O10</f>
        <v>0.55</v>
      </c>
      <c r="AC19" s="85">
        <f>'Correcction Factor'!P10</f>
        <v>0.65</v>
      </c>
      <c r="AD19" s="85">
        <f>'Correcction Factor'!Q10</f>
        <v>0.7</v>
      </c>
      <c r="AE19" s="139">
        <f>'Correcction Factor'!R10</f>
        <v>0.8</v>
      </c>
      <c r="AF19" s="128">
        <v>5</v>
      </c>
      <c r="AG19" s="90">
        <f>'Correcction Factor'!N20</f>
        <v>0.77</v>
      </c>
      <c r="AH19" s="90">
        <f>'Correcction Factor'!O20</f>
        <v>0.73</v>
      </c>
      <c r="AI19" s="90">
        <f>'Correcction Factor'!P20</f>
        <v>0.7</v>
      </c>
      <c r="AJ19" s="90">
        <f>'Correcction Factor'!Q20</f>
        <v>0.69</v>
      </c>
      <c r="AK19" s="90">
        <f>'Correcction Factor'!R20</f>
        <v>0.68</v>
      </c>
      <c r="AL19" s="141">
        <f>'Correcction Factor'!S20</f>
        <v>0.67</v>
      </c>
    </row>
    <row r="20" spans="3:38" ht="13.5" thickBot="1">
      <c r="C20" s="115" t="str">
        <f>Cable!C19</f>
        <v>1cX70</v>
      </c>
      <c r="D20" s="115">
        <f>Cable!D19</f>
        <v>0.272</v>
      </c>
      <c r="E20" s="115">
        <f>Cable!E19</f>
        <v>0</v>
      </c>
      <c r="F20" s="115">
        <f>Cable!F19</f>
        <v>214</v>
      </c>
      <c r="G20" s="115">
        <f>Cable!G19</f>
        <v>214</v>
      </c>
      <c r="H20" s="116" t="str">
        <f>Cable!H19</f>
        <v> 8.05  </v>
      </c>
      <c r="R20" s="88">
        <v>35</v>
      </c>
      <c r="S20" s="84">
        <f>'Correcction Factor'!C11</f>
        <v>0.94</v>
      </c>
      <c r="T20" s="89">
        <f>'Correcction Factor'!D11</f>
        <v>0.96</v>
      </c>
      <c r="U20" s="88">
        <v>35</v>
      </c>
      <c r="V20" s="84">
        <f>'Correcction Factor'!G11</f>
        <v>0.77</v>
      </c>
      <c r="W20" s="126">
        <f>'Correcction Factor'!H11</f>
        <v>0.89</v>
      </c>
      <c r="X20" s="88">
        <v>3</v>
      </c>
      <c r="Y20" s="89">
        <f>'Correcction Factor'!K11</f>
        <v>0.96</v>
      </c>
      <c r="Z20" s="133">
        <v>6</v>
      </c>
      <c r="AA20" s="85">
        <f>'Correcction Factor'!N11</f>
        <v>0.5</v>
      </c>
      <c r="AB20" s="85">
        <f>'Correcction Factor'!O11</f>
        <v>0.55</v>
      </c>
      <c r="AC20" s="85">
        <f>'Correcction Factor'!P11</f>
        <v>0.6</v>
      </c>
      <c r="AD20" s="85">
        <f>'Correcction Factor'!Q11</f>
        <v>0.7</v>
      </c>
      <c r="AE20" s="139">
        <f>'Correcction Factor'!R11</f>
        <v>0.8</v>
      </c>
      <c r="AF20" s="128">
        <v>6</v>
      </c>
      <c r="AG20" s="90">
        <f>'Correcction Factor'!N21</f>
        <v>0.75</v>
      </c>
      <c r="AH20" s="90">
        <f>'Correcction Factor'!O21</f>
        <v>0.71</v>
      </c>
      <c r="AI20" s="90">
        <f>'Correcction Factor'!P21</f>
        <v>0.7</v>
      </c>
      <c r="AJ20" s="90">
        <f>'Correcction Factor'!Q21</f>
        <v>0.68</v>
      </c>
      <c r="AK20" s="90">
        <f>'Correcction Factor'!R21</f>
        <v>0.68</v>
      </c>
      <c r="AL20" s="141">
        <f>'Correcction Factor'!S21</f>
        <v>0.66</v>
      </c>
    </row>
    <row r="21" spans="3:38" ht="13.5" thickBot="1">
      <c r="C21" s="115" t="str">
        <f>Cable!C20</f>
        <v>1cX95</v>
      </c>
      <c r="D21" s="115">
        <f>Cable!D20</f>
        <v>0.206</v>
      </c>
      <c r="E21" s="115">
        <f>Cable!E20</f>
        <v>0</v>
      </c>
      <c r="F21" s="115">
        <f>Cable!F20</f>
        <v>254</v>
      </c>
      <c r="G21" s="115">
        <f>Cable!G20</f>
        <v>254</v>
      </c>
      <c r="H21" s="116" t="str">
        <f>Cable!H20</f>
        <v> 10.90  </v>
      </c>
      <c r="I21" s="92"/>
      <c r="J21" s="93"/>
      <c r="K21" s="93"/>
      <c r="L21" s="94" t="s">
        <v>4</v>
      </c>
      <c r="M21" s="94" t="s">
        <v>127</v>
      </c>
      <c r="N21" s="95" t="s">
        <v>126</v>
      </c>
      <c r="O21" s="96"/>
      <c r="P21" s="96"/>
      <c r="Q21" s="96"/>
      <c r="R21" s="88">
        <v>40</v>
      </c>
      <c r="S21" s="84">
        <f>'Correcction Factor'!C12</f>
        <v>0.87</v>
      </c>
      <c r="T21" s="89">
        <f>'Correcction Factor'!D12</f>
        <v>0.91</v>
      </c>
      <c r="U21" s="88">
        <v>40</v>
      </c>
      <c r="V21" s="84">
        <f>'Correcction Factor'!G12</f>
        <v>0.71</v>
      </c>
      <c r="W21" s="126">
        <f>'Correcction Factor'!H12</f>
        <v>0.85</v>
      </c>
      <c r="X21" s="88"/>
      <c r="Y21" s="89"/>
      <c r="Z21" s="136"/>
      <c r="AA21" s="137"/>
      <c r="AB21" s="137"/>
      <c r="AC21" s="137"/>
      <c r="AD21" s="137"/>
      <c r="AE21" s="140"/>
      <c r="AF21" s="128">
        <v>7</v>
      </c>
      <c r="AG21" s="90">
        <f>'Correcction Factor'!N22</f>
        <v>0.74</v>
      </c>
      <c r="AH21" s="90">
        <f>'Correcction Factor'!O22</f>
        <v>0.69</v>
      </c>
      <c r="AI21" s="90">
        <f>'Correcction Factor'!P22</f>
        <v>0.675</v>
      </c>
      <c r="AJ21" s="90">
        <f>'Correcction Factor'!Q22</f>
        <v>0.66</v>
      </c>
      <c r="AK21" s="90">
        <f>'Correcction Factor'!R22</f>
        <v>0.66</v>
      </c>
      <c r="AL21" s="141">
        <f>'Correcction Factor'!S22</f>
        <v>0.64</v>
      </c>
    </row>
    <row r="22" spans="3:38" ht="12.75" customHeight="1" thickBot="1">
      <c r="C22" s="115" t="str">
        <f>Cable!C21</f>
        <v>1cX120</v>
      </c>
      <c r="D22" s="115">
        <f>Cable!D21</f>
        <v>0.161</v>
      </c>
      <c r="E22" s="115">
        <f>Cable!E21</f>
        <v>0</v>
      </c>
      <c r="F22" s="115">
        <f>Cable!F21</f>
        <v>300</v>
      </c>
      <c r="G22" s="115">
        <f>Cable!G21</f>
        <v>300</v>
      </c>
      <c r="H22" s="116" t="str">
        <f>Cable!H21</f>
        <v> 13.80  </v>
      </c>
      <c r="J22" s="77" t="s">
        <v>125</v>
      </c>
      <c r="K22" s="77" t="s">
        <v>105</v>
      </c>
      <c r="L22" s="77" t="s">
        <v>0</v>
      </c>
      <c r="M22" s="77" t="s">
        <v>0</v>
      </c>
      <c r="N22" s="97"/>
      <c r="R22" s="88">
        <v>45</v>
      </c>
      <c r="S22" s="84">
        <f>'Correcction Factor'!C13</f>
        <v>0.79</v>
      </c>
      <c r="T22" s="89">
        <f>'Correcction Factor'!D13</f>
        <v>0.87</v>
      </c>
      <c r="U22" s="88">
        <v>45</v>
      </c>
      <c r="V22" s="84">
        <f>'Correcction Factor'!G13</f>
        <v>0.63</v>
      </c>
      <c r="W22" s="126">
        <f>'Correcction Factor'!H13</f>
        <v>0.8</v>
      </c>
      <c r="X22" s="388" t="s">
        <v>30</v>
      </c>
      <c r="Y22" s="389"/>
      <c r="Z22" s="147"/>
      <c r="AA22" s="386" t="s">
        <v>17</v>
      </c>
      <c r="AB22" s="385"/>
      <c r="AC22" s="385"/>
      <c r="AD22" s="385"/>
      <c r="AE22" s="387"/>
      <c r="AF22" s="129">
        <v>8</v>
      </c>
      <c r="AG22" s="130">
        <f>'Correcction Factor'!N23</f>
        <v>0.73</v>
      </c>
      <c r="AH22" s="130">
        <f>'Correcction Factor'!O23</f>
        <v>0.69</v>
      </c>
      <c r="AI22" s="130">
        <f>'Correcction Factor'!P23</f>
        <v>0.68</v>
      </c>
      <c r="AJ22" s="130">
        <f>'Correcction Factor'!Q23</f>
        <v>0.67</v>
      </c>
      <c r="AK22" s="130">
        <f>'Correcction Factor'!R23</f>
        <v>0.66</v>
      </c>
      <c r="AL22" s="142">
        <f>'Correcction Factor'!S23</f>
        <v>0.64</v>
      </c>
    </row>
    <row r="23" spans="3:33" ht="12.75" customHeight="1">
      <c r="C23" s="115" t="str">
        <f>Cable!C22</f>
        <v>2cX0.5</v>
      </c>
      <c r="D23" s="115">
        <f>Cable!D22</f>
        <v>39</v>
      </c>
      <c r="E23" s="115">
        <f>Cable!E22</f>
        <v>0</v>
      </c>
      <c r="F23" s="115">
        <f>Cable!F22</f>
        <v>4</v>
      </c>
      <c r="G23" s="115">
        <f>Cable!G22</f>
        <v>4</v>
      </c>
      <c r="H23" s="116">
        <f>Cable!H22</f>
        <v>0.4</v>
      </c>
      <c r="I23" s="98" t="s">
        <v>119</v>
      </c>
      <c r="J23" s="77">
        <f>IF(I11=I23,VLOOKUP(I12,fl,2,0),0)</f>
        <v>0</v>
      </c>
      <c r="K23" s="77">
        <f>IF(I11=I23,VLOOKUP(I12,fl,3,0),0)</f>
        <v>0</v>
      </c>
      <c r="L23" s="77">
        <f>IF(I11=I23,IF(I13="AL",VLOOKUP(I12,fl,4,0),VLOOKUP(I12,fl,5,0)),0)</f>
        <v>0</v>
      </c>
      <c r="M23" s="77">
        <f>IF(I11=I23,IF(I13="AL",VLOOKUP(I12,fl,4,0),VLOOKUP(I12,fl,5,0)),0)</f>
        <v>0</v>
      </c>
      <c r="N23" s="97">
        <f>IF(I11=I23,VLOOKUP(I12,fl,6,0),0)</f>
        <v>0</v>
      </c>
      <c r="R23" s="88">
        <v>50</v>
      </c>
      <c r="S23" s="84">
        <f>'Correcction Factor'!C14</f>
        <v>0.71</v>
      </c>
      <c r="T23" s="89">
        <f>'Correcction Factor'!D14</f>
        <v>0.82</v>
      </c>
      <c r="U23" s="88">
        <v>50</v>
      </c>
      <c r="V23" s="84">
        <f>'Correcction Factor'!G14</f>
        <v>0.55</v>
      </c>
      <c r="W23" s="126">
        <f>'Correcction Factor'!H14</f>
        <v>0.76</v>
      </c>
      <c r="X23" s="88" t="s">
        <v>34</v>
      </c>
      <c r="Y23" s="126" t="s">
        <v>33</v>
      </c>
      <c r="Z23" s="148"/>
      <c r="AA23" s="99"/>
      <c r="AB23" s="100" t="str">
        <f>N13</f>
        <v>PVC Flexible (Up to 1.1 KV)</v>
      </c>
      <c r="AC23" s="125" t="s">
        <v>130</v>
      </c>
      <c r="AD23" s="125" t="s">
        <v>2</v>
      </c>
      <c r="AE23" s="145" t="s">
        <v>3</v>
      </c>
      <c r="AF23" s="399" t="s">
        <v>547</v>
      </c>
      <c r="AG23" s="400"/>
    </row>
    <row r="24" spans="3:33" ht="12.75" customHeight="1">
      <c r="C24" s="115" t="str">
        <f>Cable!C23</f>
        <v>2cX0.75</v>
      </c>
      <c r="D24" s="115">
        <f>Cable!D23</f>
        <v>26</v>
      </c>
      <c r="E24" s="115">
        <f>Cable!E23</f>
        <v>0</v>
      </c>
      <c r="F24" s="115">
        <f>Cable!F23</f>
        <v>7</v>
      </c>
      <c r="G24" s="115">
        <f>Cable!G23</f>
        <v>7</v>
      </c>
      <c r="H24" s="116">
        <f>Cable!H23</f>
        <v>0.4</v>
      </c>
      <c r="I24" s="98" t="s">
        <v>124</v>
      </c>
      <c r="J24" s="77">
        <f>IF(I11=I24,IF(I13="AL",VLOOKUP(I12,$C$43:$AA$132,2,0),VLOOKUP(I12,$C$43:$AA$132,4,0)),0)</f>
        <v>0</v>
      </c>
      <c r="K24" s="77">
        <f>IF(I11=I24,IF(I13="AL",VLOOKUP(I12,$C$43:$AA$132,3,0),VLOOKUP(I12,$C$43:$AA$132,5,0)),0)</f>
        <v>0</v>
      </c>
      <c r="L24" s="77">
        <f>IF(I11=I24,IF(I13="AL",IF(I14=2,VLOOKUP(I12,$C$43:$AA$132,6,0),IF(I14=3,VLOOKUP(I12,$C$43:$AA$132,7,0),VLOOKUP(I12,$C$43:$AA$132,8,0))),0),0)</f>
        <v>0</v>
      </c>
      <c r="M24" s="77">
        <f>IF(I11=I24,IF(I13="CU",IF(I14=2,VLOOKUP(I12,$C$43:$AA$132,9,0),IF(I14=3,VLOOKUP(I12,$C$43:$AA$132,10,0),VLOOKUP(I12,$C$43:$AA$132,11,0))),0),0)</f>
        <v>0</v>
      </c>
      <c r="N24" s="97">
        <f>IF(I11=I24,IF(I13="AL",VLOOKUP(I12,$C$43:$AA$132,12,0),VLOOKUP(I12,$C$43:$AA$132,13,0)),0)</f>
        <v>0</v>
      </c>
      <c r="R24" s="88">
        <v>55</v>
      </c>
      <c r="S24" s="84">
        <f>'Correcction Factor'!C15</f>
        <v>0.61</v>
      </c>
      <c r="T24" s="89">
        <f>'Correcction Factor'!D15</f>
        <v>0.76</v>
      </c>
      <c r="U24" s="88">
        <v>55</v>
      </c>
      <c r="V24" s="84">
        <f>'Correcction Factor'!G15</f>
        <v>0.45</v>
      </c>
      <c r="W24" s="126">
        <f>'Correcction Factor'!H15</f>
        <v>0.71</v>
      </c>
      <c r="X24" s="88" t="s">
        <v>35</v>
      </c>
      <c r="Y24" s="126">
        <f>'Correcction Factor'!K15</f>
        <v>1.21</v>
      </c>
      <c r="Z24" s="149">
        <v>1</v>
      </c>
      <c r="AA24" s="99">
        <v>25</v>
      </c>
      <c r="AB24" s="101">
        <f>'Correcction Factor'!C24</f>
        <v>1.25</v>
      </c>
      <c r="AC24" s="125">
        <f>'Correcction Factor'!D24</f>
        <v>1.16</v>
      </c>
      <c r="AD24" s="125">
        <f>'Correcction Factor'!F24</f>
        <v>1.28</v>
      </c>
      <c r="AE24" s="145">
        <f>'Correcction Factor'!G24</f>
        <v>1.14</v>
      </c>
      <c r="AF24" s="133" t="s">
        <v>546</v>
      </c>
      <c r="AG24" s="134" t="s">
        <v>545</v>
      </c>
    </row>
    <row r="25" spans="3:33" ht="11.25">
      <c r="C25" s="115" t="str">
        <f>Cable!C24</f>
        <v>2cX1</v>
      </c>
      <c r="D25" s="115">
        <f>Cable!D24</f>
        <v>19.5</v>
      </c>
      <c r="E25" s="115">
        <f>Cable!E24</f>
        <v>0</v>
      </c>
      <c r="F25" s="115">
        <f>Cable!F24</f>
        <v>11</v>
      </c>
      <c r="G25" s="115">
        <f>Cable!G24</f>
        <v>11</v>
      </c>
      <c r="H25" s="116">
        <f>Cable!H24</f>
        <v>0.4</v>
      </c>
      <c r="I25" s="98" t="s">
        <v>123</v>
      </c>
      <c r="J25" s="77">
        <f>IF(I11=I25,IF(I13="AL",VLOOKUP(I12,$C$43:$AA$132,14,0),VLOOKUP(I12,$C$43:$AA$132,16,0)),0)</f>
        <v>0</v>
      </c>
      <c r="K25" s="77">
        <f>IF(I11=I25,IF(I13="AL",VLOOKUP(I12,$C$43:$AA$132,15,0),VLOOKUP(I12,$C$43:$AA$132,17,0)),0)</f>
        <v>0</v>
      </c>
      <c r="L25" s="77">
        <f>IF(I11=I25,IF(I13="AL",IF(I14=2,VLOOKUP(I12,$C$43:$AA$132,18,0),IF(I14=3,VLOOKUP(I12,$C$43:$AA$132,19,0),VLOOKUP(I12,$C$43:$AA$132,20,0))),0),0)</f>
        <v>0</v>
      </c>
      <c r="M25" s="77">
        <f>IF(I11=I25,IF(I13="CU",IF(I14=2,VLOOKUP(I12,$C$43:$AA$132,21,0),IF(I14=3,VLOOKUP(I12,$C$43:$AA$132,22,0),VLOOKUP(I12,$C$43:$AA$132,23,0))),0),0)</f>
        <v>0</v>
      </c>
      <c r="N25" s="97">
        <f>IF(I11=I25,IF(I13="AL",VLOOKUP(I12,$C$43:$AA$132,24,0),VLOOKUP(I12,$C$43:$AA$132,25,0)),0)</f>
        <v>0</v>
      </c>
      <c r="R25" s="88">
        <v>60</v>
      </c>
      <c r="S25" s="84">
        <f>'Correcction Factor'!C16</f>
        <v>0.5</v>
      </c>
      <c r="T25" s="89">
        <f>'Correcction Factor'!D16</f>
        <v>0.71</v>
      </c>
      <c r="U25" s="88">
        <v>60</v>
      </c>
      <c r="V25" s="84">
        <f>'Correcction Factor'!G16</f>
        <v>0</v>
      </c>
      <c r="W25" s="126">
        <f>'Correcction Factor'!H16</f>
        <v>0.65</v>
      </c>
      <c r="X25" s="88" t="s">
        <v>36</v>
      </c>
      <c r="Y25" s="126">
        <f>'Correcction Factor'!K16</f>
        <v>1.13</v>
      </c>
      <c r="Z25" s="149">
        <v>2</v>
      </c>
      <c r="AA25" s="99">
        <v>30</v>
      </c>
      <c r="AB25" s="101">
        <f>'Correcction Factor'!C25</f>
        <v>1.16</v>
      </c>
      <c r="AC25" s="125">
        <f>'Correcction Factor'!D25</f>
        <v>1.1</v>
      </c>
      <c r="AD25" s="125">
        <f>'Correcction Factor'!F25</f>
        <v>1.22</v>
      </c>
      <c r="AE25" s="145">
        <f>'Correcction Factor'!G25</f>
        <v>1.1</v>
      </c>
      <c r="AF25" s="133">
        <v>0.5</v>
      </c>
      <c r="AG25" s="134">
        <f>'Correcction Factor'!K24</f>
        <v>1.1</v>
      </c>
    </row>
    <row r="26" spans="3:33" ht="11.25">
      <c r="C26" s="115" t="str">
        <f>Cable!C25</f>
        <v>2cX1.5</v>
      </c>
      <c r="D26" s="115">
        <f>Cable!D25</f>
        <v>13.3</v>
      </c>
      <c r="E26" s="115">
        <f>Cable!E25</f>
        <v>0</v>
      </c>
      <c r="F26" s="115">
        <f>Cable!F25</f>
        <v>15</v>
      </c>
      <c r="G26" s="115">
        <f>Cable!G25</f>
        <v>15</v>
      </c>
      <c r="H26" s="116">
        <f>Cable!H25</f>
        <v>0.5</v>
      </c>
      <c r="I26" s="98" t="s">
        <v>118</v>
      </c>
      <c r="J26" s="77">
        <f>IF(I11=I26,IF(I13="AL",VLOOKUP(I12,$C$139:$O$164,2,0),VLOOKUP(I12,$C$139:$O$164,4,0)),0)</f>
        <v>0</v>
      </c>
      <c r="K26" s="77">
        <f>IF(I11=I26,IF(I13="AL",VLOOKUP(I12,$C$139:$O$164,3,0),VLOOKUP(I12,$C$139:$O$164,5,0)),0)</f>
        <v>0</v>
      </c>
      <c r="L26" s="77">
        <f>IF(I11=I26,IF(I13="AL",IF(I14=2,VLOOKUP(I12,$C$139:$O$164,6,0),IF(I14=3,VLOOKUP(I12,$C$139:$O$164,7,0),VLOOKUP(I12,$C$139:$O$164,8,0))),0),0)</f>
        <v>0</v>
      </c>
      <c r="M26" s="77">
        <f>IF(I11=I26,IF(I13="CU",IF(I14=2,VLOOKUP(I12,$C$139:$O$164,9,0),IF(I14=3,VLOOKUP(I12,$C$139:$O$164,10,0),VLOOKUP(I12,$C$139:$O$164,11,0))),0),0)</f>
        <v>0</v>
      </c>
      <c r="N26" s="97">
        <f>IF(I11=I26,IF(I13="AL",VLOOKUP(I12,$C$139:$O$164,12,0),VLOOKUP(I12,$C$139:$O$164,13,0)),0)</f>
        <v>0</v>
      </c>
      <c r="R26" s="88">
        <v>65</v>
      </c>
      <c r="S26" s="84">
        <f>'Correcction Factor'!C17</f>
        <v>0</v>
      </c>
      <c r="T26" s="89">
        <f>'Correcction Factor'!D17</f>
        <v>0.65</v>
      </c>
      <c r="U26" s="88">
        <v>65</v>
      </c>
      <c r="V26" s="84">
        <f>'Correcction Factor'!G17</f>
        <v>0</v>
      </c>
      <c r="W26" s="126">
        <f>'Correcction Factor'!H17</f>
        <v>0.6</v>
      </c>
      <c r="X26" s="88" t="s">
        <v>37</v>
      </c>
      <c r="Y26" s="126">
        <f>'Correcction Factor'!K17</f>
        <v>1.05</v>
      </c>
      <c r="Z26" s="149">
        <v>3</v>
      </c>
      <c r="AA26" s="99">
        <v>35</v>
      </c>
      <c r="AB26" s="101">
        <f>'Correcction Factor'!C26</f>
        <v>1.09</v>
      </c>
      <c r="AC26" s="125">
        <f>'Correcction Factor'!D26</f>
        <v>1.05</v>
      </c>
      <c r="AD26" s="125">
        <f>'Correcction Factor'!F26</f>
        <v>1.134</v>
      </c>
      <c r="AE26" s="145">
        <f>'Correcction Factor'!G26</f>
        <v>1.04</v>
      </c>
      <c r="AF26" s="133">
        <v>0.7</v>
      </c>
      <c r="AG26" s="134">
        <f>'Correcction Factor'!K25</f>
        <v>1.05</v>
      </c>
    </row>
    <row r="27" spans="3:33" ht="11.25">
      <c r="C27" s="115" t="str">
        <f>Cable!C26</f>
        <v>2cX2.5</v>
      </c>
      <c r="D27" s="115">
        <f>Cable!D26</f>
        <v>7.98</v>
      </c>
      <c r="E27" s="115">
        <f>Cable!E26</f>
        <v>0</v>
      </c>
      <c r="F27" s="115">
        <f>Cable!F26</f>
        <v>19</v>
      </c>
      <c r="G27" s="115">
        <f>Cable!G26</f>
        <v>19</v>
      </c>
      <c r="H27" s="116">
        <f>Cable!H26</f>
        <v>0.5</v>
      </c>
      <c r="I27" s="98" t="s">
        <v>120</v>
      </c>
      <c r="J27" s="77">
        <f>IF(I11=I27,IF(I13="AL",VLOOKUP(I12,earth1,2,0),VLOOKUP(I12,earth1,4,0)),0)</f>
        <v>0</v>
      </c>
      <c r="K27" s="77">
        <f>IF(I11=I27,IF(I13="AL",VLOOKUP(I12,earth1,3,0),VLOOKUP(I12,earth1,5,0)),0)</f>
        <v>0</v>
      </c>
      <c r="L27" s="77">
        <f>IF(I11=I27,IF(I13="AL",IF(I14=2,VLOOKUP(I12,earth1,6,0),IF(I14=3,VLOOKUP(I12,earth1,7,0),VLOOKUP(I12,earth1,8,0))),0),0)</f>
        <v>0</v>
      </c>
      <c r="M27" s="77">
        <f>IF(I11=I27,IF(I13="CU",IF(I14=2,VLOOKUP(I12,earth1,9,0),IF(I14=3,VLOOKUP(I12,earth1,10,0),VLOOKUP(I12,earth1,11,0))),0),0)</f>
        <v>0</v>
      </c>
      <c r="N27" s="97">
        <f>IF(I11=I27,IF(I13="AL",VLOOKUP(I12,earth1,12,0),VLOOKUP(I12,earth1,13,0)),0)</f>
        <v>0</v>
      </c>
      <c r="R27" s="88">
        <v>70</v>
      </c>
      <c r="S27" s="84">
        <f>'Correcction Factor'!C18</f>
        <v>0</v>
      </c>
      <c r="T27" s="89">
        <f>'Correcction Factor'!D18</f>
        <v>0.58</v>
      </c>
      <c r="U27" s="88">
        <v>70</v>
      </c>
      <c r="V27" s="84">
        <f>'Correcction Factor'!G18</f>
        <v>0</v>
      </c>
      <c r="W27" s="126">
        <f>'Correcction Factor'!H18</f>
        <v>0.53</v>
      </c>
      <c r="X27" s="88" t="s">
        <v>38</v>
      </c>
      <c r="Y27" s="126">
        <f>'Correcction Factor'!K18</f>
        <v>1</v>
      </c>
      <c r="Z27" s="149">
        <v>4</v>
      </c>
      <c r="AA27" s="99">
        <v>40</v>
      </c>
      <c r="AB27" s="101">
        <f>'Correcction Factor'!C27</f>
        <v>1</v>
      </c>
      <c r="AC27" s="125">
        <f>'Correcction Factor'!D27</f>
        <v>1</v>
      </c>
      <c r="AD27" s="125">
        <f>'Correcction Factor'!F27</f>
        <v>1</v>
      </c>
      <c r="AE27" s="145">
        <f>'Correcction Factor'!G27</f>
        <v>1</v>
      </c>
      <c r="AF27" s="133">
        <v>0.9</v>
      </c>
      <c r="AG27" s="134">
        <f>'Correcction Factor'!K26</f>
        <v>1.01</v>
      </c>
    </row>
    <row r="28" spans="3:33" ht="11.25">
      <c r="C28" s="115" t="str">
        <f>Cable!C27</f>
        <v>2cX4</v>
      </c>
      <c r="D28" s="115">
        <f>Cable!D27</f>
        <v>4.95</v>
      </c>
      <c r="E28" s="115">
        <f>Cable!E27</f>
        <v>0</v>
      </c>
      <c r="F28" s="115">
        <f>Cable!F27</f>
        <v>26</v>
      </c>
      <c r="G28" s="115">
        <f>Cable!G27</f>
        <v>26</v>
      </c>
      <c r="H28" s="116">
        <f>Cable!H27</f>
        <v>0.5</v>
      </c>
      <c r="I28" s="98" t="s">
        <v>121</v>
      </c>
      <c r="J28" s="77">
        <f>IF(I11=I28,IF(I13="AL",VLOOKUP(I12,earth2,2,0),VLOOKUP(I12,earth2,4,0)),0)</f>
        <v>0.0426</v>
      </c>
      <c r="K28" s="77">
        <f>IF(I11=I28,IF(I13="AL",VLOOKUP(I12,earth2,3,0),VLOOKUP(I12,earth2,5,0)),0)</f>
        <v>0.0875</v>
      </c>
      <c r="L28" s="77">
        <f>IF(I11=I28,IF(I13="AL",IF(I14=2,VLOOKUP(I12,earth2,6,0),IF(I14=3,VLOOKUP(I12,earth2,7,0),VLOOKUP(I12,earth2,8,0))),0),0)</f>
        <v>0</v>
      </c>
      <c r="M28" s="77" t="str">
        <f>IF(I11=I28,IF(I13="CU",IF(I14=2,VLOOKUP(I12,earth2,9,0),IF(I14=3,VLOOKUP(I12,earth2,10,0),VLOOKUP(I12,earth2,11,0))),0),0)</f>
        <v> 790  </v>
      </c>
      <c r="N28" s="97" t="str">
        <f>IF(I11=I28,IF(I13="AL",VLOOKUP(I12,earth2,12,0),VLOOKUP(I12,earth2,13,0)),0)</f>
        <v> 143.00  </v>
      </c>
      <c r="R28" s="88">
        <v>75</v>
      </c>
      <c r="S28" s="84">
        <f>'Correcction Factor'!C19</f>
        <v>0</v>
      </c>
      <c r="T28" s="89">
        <f>'Correcction Factor'!D19</f>
        <v>0.5</v>
      </c>
      <c r="U28" s="88">
        <v>75</v>
      </c>
      <c r="V28" s="84">
        <f>'Correcction Factor'!G19</f>
        <v>0</v>
      </c>
      <c r="W28" s="126">
        <f>'Correcction Factor'!H19</f>
        <v>0.46</v>
      </c>
      <c r="X28" s="88" t="s">
        <v>39</v>
      </c>
      <c r="Y28" s="126">
        <f>'Correcction Factor'!K19</f>
        <v>0.86</v>
      </c>
      <c r="Z28" s="149">
        <v>5</v>
      </c>
      <c r="AA28" s="99">
        <v>45</v>
      </c>
      <c r="AB28" s="101">
        <f>'Correcction Factor'!C28</f>
        <v>0.9</v>
      </c>
      <c r="AC28" s="125">
        <f>'Correcction Factor'!D28</f>
        <v>0.94</v>
      </c>
      <c r="AD28" s="125">
        <f>'Correcction Factor'!F28</f>
        <v>0.975</v>
      </c>
      <c r="AE28" s="145">
        <f>'Correcction Factor'!G28</f>
        <v>0.95</v>
      </c>
      <c r="AF28" s="133">
        <v>1</v>
      </c>
      <c r="AG28" s="134">
        <f>'Correcction Factor'!K27</f>
        <v>1</v>
      </c>
    </row>
    <row r="29" spans="3:33" ht="12" thickBot="1">
      <c r="C29" s="115" t="str">
        <f>Cable!C28</f>
        <v>3cX0.5</v>
      </c>
      <c r="D29" s="115">
        <f>Cable!D28</f>
        <v>39</v>
      </c>
      <c r="E29" s="115">
        <f>Cable!E28</f>
        <v>0</v>
      </c>
      <c r="F29" s="115">
        <f>Cable!F28</f>
        <v>4</v>
      </c>
      <c r="G29" s="115">
        <f>Cable!G28</f>
        <v>4</v>
      </c>
      <c r="H29" s="116">
        <f>Cable!H28</f>
        <v>0.4</v>
      </c>
      <c r="I29" s="98" t="s">
        <v>122</v>
      </c>
      <c r="J29" s="77">
        <f>IF(I11=I29,IF(I13="AL",VLOOKUP(I12,ht,2,0),VLOOKUP(I12,ht,4,0)),0)</f>
        <v>0</v>
      </c>
      <c r="K29" s="77">
        <f>IF(I11=I29,IF(I13="AL",VLOOKUP(I12,ht,3,0),VLOOKUP(I12,ht,5,0)),0)</f>
        <v>0</v>
      </c>
      <c r="L29" s="77">
        <f>IF(I11=I29,IF(I13="AL",IF(I14=2,VLOOKUP(I12,ht,6,0),IF(I14=3,VLOOKUP(I12,ht,7,0),VLOOKUP(I12,ht,8,0))),0),0)</f>
        <v>0</v>
      </c>
      <c r="M29" s="77">
        <f>IF(I11=I29,IF(I13="CU",IF(I14=2,VLOOKUP(I12,ht,9,0),IF(I14=3,VLOOKUP(I12,ht,10,0),VLOOKUP(I12,ht,11,0))),0),0)</f>
        <v>0</v>
      </c>
      <c r="N29" s="97">
        <f>IF(I11=I29,IF(I13="AL",VLOOKUP(I12,ht,12,0),VLOOKUP(I12,ht,13,0)),0)</f>
        <v>0</v>
      </c>
      <c r="R29" s="102">
        <v>80</v>
      </c>
      <c r="S29" s="103">
        <f>'Correcction Factor'!C20</f>
        <v>0</v>
      </c>
      <c r="T29" s="104">
        <f>'Correcction Factor'!D20</f>
        <v>0.41</v>
      </c>
      <c r="U29" s="102">
        <v>80</v>
      </c>
      <c r="V29" s="103">
        <f>'Correcction Factor'!G20</f>
        <v>0</v>
      </c>
      <c r="W29" s="132">
        <f>'Correcction Factor'!H20</f>
        <v>0.38</v>
      </c>
      <c r="X29" s="88"/>
      <c r="Y29" s="126"/>
      <c r="Z29" s="149">
        <v>6</v>
      </c>
      <c r="AA29" s="99">
        <v>50</v>
      </c>
      <c r="AB29" s="101">
        <f>'Correcction Factor'!C29</f>
        <v>0.8</v>
      </c>
      <c r="AC29" s="125">
        <f>'Correcction Factor'!D29</f>
        <v>0.88</v>
      </c>
      <c r="AD29" s="125">
        <f>'Correcction Factor'!F29</f>
        <v>0.878</v>
      </c>
      <c r="AE29" s="145">
        <f>'Correcction Factor'!G29</f>
        <v>0.9</v>
      </c>
      <c r="AF29" s="133">
        <v>1.2</v>
      </c>
      <c r="AG29" s="134">
        <f>'Correcction Factor'!K28</f>
        <v>0.98</v>
      </c>
    </row>
    <row r="30" spans="3:33" ht="12" thickBot="1">
      <c r="C30" s="115" t="str">
        <f>Cable!C29</f>
        <v>3cX0.75</v>
      </c>
      <c r="D30" s="115">
        <f>Cable!D29</f>
        <v>26</v>
      </c>
      <c r="E30" s="115">
        <f>Cable!E29</f>
        <v>0</v>
      </c>
      <c r="F30" s="115">
        <f>Cable!F29</f>
        <v>7</v>
      </c>
      <c r="G30" s="115">
        <f>Cable!G29</f>
        <v>7</v>
      </c>
      <c r="H30" s="116">
        <f>Cable!H29</f>
        <v>0.5</v>
      </c>
      <c r="I30" s="105"/>
      <c r="J30" s="105"/>
      <c r="K30" s="105"/>
      <c r="L30" s="105"/>
      <c r="M30" s="105"/>
      <c r="N30" s="106"/>
      <c r="X30" s="102"/>
      <c r="Y30" s="132"/>
      <c r="Z30" s="149">
        <v>7</v>
      </c>
      <c r="AA30" s="99">
        <v>55</v>
      </c>
      <c r="AB30" s="101">
        <f>'Correcction Factor'!C30</f>
        <v>0.69</v>
      </c>
      <c r="AC30" s="125">
        <f>'Correcction Factor'!D30</f>
        <v>0.82</v>
      </c>
      <c r="AD30" s="125">
        <f>'Correcction Factor'!F30</f>
        <v>0.768</v>
      </c>
      <c r="AE30" s="145">
        <f>'Correcction Factor'!G30</f>
        <v>0.85</v>
      </c>
      <c r="AF30" s="133">
        <v>1.5</v>
      </c>
      <c r="AG30" s="134">
        <f>'Correcction Factor'!K29</f>
        <v>0.96</v>
      </c>
    </row>
    <row r="31" spans="3:33" ht="12" thickBot="1">
      <c r="C31" s="115" t="str">
        <f>Cable!C30</f>
        <v>3cX1</v>
      </c>
      <c r="D31" s="115">
        <f>Cable!D30</f>
        <v>19.5</v>
      </c>
      <c r="E31" s="115">
        <f>Cable!E30</f>
        <v>0</v>
      </c>
      <c r="F31" s="115">
        <f>Cable!F30</f>
        <v>11</v>
      </c>
      <c r="G31" s="115">
        <f>Cable!G30</f>
        <v>11</v>
      </c>
      <c r="H31" s="116">
        <f>Cable!H30</f>
        <v>0.4</v>
      </c>
      <c r="Z31" s="150">
        <v>8</v>
      </c>
      <c r="AA31" s="151">
        <v>60</v>
      </c>
      <c r="AB31" s="146">
        <f>'Correcction Factor'!C31</f>
        <v>0.62</v>
      </c>
      <c r="AC31" s="137">
        <f>'Correcction Factor'!D31</f>
        <v>0.74</v>
      </c>
      <c r="AD31" s="137">
        <f>'Correcction Factor'!F31</f>
        <v>0.658</v>
      </c>
      <c r="AE31" s="138">
        <f>'Correcction Factor'!G31</f>
        <v>0.8</v>
      </c>
      <c r="AF31" s="143"/>
      <c r="AG31" s="144"/>
    </row>
    <row r="32" spans="3:8" ht="11.25">
      <c r="C32" s="115" t="str">
        <f>Cable!C31</f>
        <v>3cX1.5</v>
      </c>
      <c r="D32" s="115">
        <f>Cable!D31</f>
        <v>13.3</v>
      </c>
      <c r="E32" s="115">
        <f>Cable!E31</f>
        <v>0</v>
      </c>
      <c r="F32" s="115">
        <f>Cable!F31</f>
        <v>15</v>
      </c>
      <c r="G32" s="115">
        <f>Cable!G31</f>
        <v>15</v>
      </c>
      <c r="H32" s="116">
        <f>Cable!H31</f>
        <v>0.5</v>
      </c>
    </row>
    <row r="33" spans="3:14" ht="11.25">
      <c r="C33" s="115" t="str">
        <f>Cable!C32</f>
        <v>3cX2.5</v>
      </c>
      <c r="D33" s="115">
        <f>Cable!D32</f>
        <v>7.98</v>
      </c>
      <c r="E33" s="115">
        <f>Cable!E32</f>
        <v>0</v>
      </c>
      <c r="F33" s="115">
        <f>Cable!F32</f>
        <v>19</v>
      </c>
      <c r="G33" s="115">
        <f>Cable!G32</f>
        <v>19</v>
      </c>
      <c r="H33" s="116">
        <f>Cable!H32</f>
        <v>0.5</v>
      </c>
      <c r="I33" s="77" t="str">
        <f>I11</f>
        <v>HT XLPE ( 11 KV-Un Earthed)</v>
      </c>
      <c r="J33" s="77">
        <f>VLOOKUP(I33,I23:N29,2,0)</f>
        <v>0.0426</v>
      </c>
      <c r="K33" s="77">
        <f>VLOOKUP(I33,I23:N29,3,0)</f>
        <v>0.0875</v>
      </c>
      <c r="L33" s="77" t="str">
        <f>IF(I13="AL",VLOOKUP(I33,I23:N29,4,0),VLOOKUP(I33,I23:N29,5,0))</f>
        <v> 790  </v>
      </c>
      <c r="N33" s="77" t="str">
        <f>VLOOKUP(I33,I23:N29,6,0)</f>
        <v> 143.00  </v>
      </c>
    </row>
    <row r="34" spans="3:17" ht="11.25">
      <c r="C34" s="115" t="str">
        <f>Cable!C33</f>
        <v>3cX4</v>
      </c>
      <c r="D34" s="115">
        <f>Cable!D33</f>
        <v>4.95</v>
      </c>
      <c r="E34" s="115">
        <f>Cable!E33</f>
        <v>0</v>
      </c>
      <c r="F34" s="115">
        <f>Cable!F33</f>
        <v>26</v>
      </c>
      <c r="G34" s="115">
        <f>Cable!G33</f>
        <v>26</v>
      </c>
      <c r="H34" s="116">
        <f>Cable!H33</f>
        <v>0.5</v>
      </c>
      <c r="J34" s="77" t="b">
        <f>ISERROR(J33)</f>
        <v>0</v>
      </c>
      <c r="Q34" s="77">
        <f>65/0.07</f>
        <v>928.5714285714284</v>
      </c>
    </row>
    <row r="35" spans="3:17" ht="11.25">
      <c r="C35" s="107"/>
      <c r="D35" s="107"/>
      <c r="E35" s="107"/>
      <c r="F35" s="107"/>
      <c r="Q35" s="77">
        <f>Q34/1000</f>
        <v>0.9285714285714285</v>
      </c>
    </row>
    <row r="36" spans="3:6" ht="11.25">
      <c r="C36" s="107"/>
      <c r="D36" s="107"/>
      <c r="E36" s="107"/>
      <c r="F36" s="107"/>
    </row>
    <row r="37" spans="3:6" ht="11.25">
      <c r="C37" s="107"/>
      <c r="D37" s="107"/>
      <c r="E37" s="107"/>
      <c r="F37" s="107"/>
    </row>
    <row r="38" spans="3:27" ht="11.25">
      <c r="C38" s="107"/>
      <c r="D38" s="107">
        <v>2</v>
      </c>
      <c r="E38" s="107">
        <v>3</v>
      </c>
      <c r="F38" s="107">
        <v>4</v>
      </c>
      <c r="G38" s="107">
        <v>5</v>
      </c>
      <c r="H38" s="107">
        <v>6</v>
      </c>
      <c r="I38" s="107">
        <v>7</v>
      </c>
      <c r="J38" s="107">
        <v>8</v>
      </c>
      <c r="K38" s="107">
        <v>9</v>
      </c>
      <c r="L38" s="107">
        <v>10</v>
      </c>
      <c r="M38" s="107">
        <v>11</v>
      </c>
      <c r="N38" s="107">
        <v>12</v>
      </c>
      <c r="O38" s="107">
        <v>13</v>
      </c>
      <c r="P38" s="107">
        <v>14</v>
      </c>
      <c r="Q38" s="107">
        <v>15</v>
      </c>
      <c r="R38" s="107">
        <v>16</v>
      </c>
      <c r="S38" s="107">
        <v>17</v>
      </c>
      <c r="T38" s="107">
        <v>18</v>
      </c>
      <c r="U38" s="107">
        <v>19</v>
      </c>
      <c r="V38" s="107">
        <v>20</v>
      </c>
      <c r="W38" s="107">
        <v>21</v>
      </c>
      <c r="X38" s="107">
        <v>22</v>
      </c>
      <c r="Y38" s="107">
        <v>23</v>
      </c>
      <c r="Z38" s="107">
        <v>24</v>
      </c>
      <c r="AA38" s="107">
        <v>25</v>
      </c>
    </row>
    <row r="39" spans="3:27" ht="15" customHeight="1">
      <c r="C39" s="379" t="s">
        <v>71</v>
      </c>
      <c r="D39" s="381" t="s">
        <v>112</v>
      </c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3" t="s">
        <v>113</v>
      </c>
      <c r="Q39" s="383"/>
      <c r="R39" s="383"/>
      <c r="S39" s="383"/>
      <c r="T39" s="383"/>
      <c r="U39" s="383"/>
      <c r="V39" s="383"/>
      <c r="W39" s="383"/>
      <c r="X39" s="383"/>
      <c r="Y39" s="383"/>
      <c r="Z39" s="383"/>
      <c r="AA39" s="383"/>
    </row>
    <row r="40" spans="3:27" ht="11.25" customHeight="1">
      <c r="C40" s="379"/>
      <c r="D40" s="378" t="s">
        <v>101</v>
      </c>
      <c r="E40" s="378"/>
      <c r="F40" s="378" t="s">
        <v>102</v>
      </c>
      <c r="G40" s="378"/>
      <c r="H40" s="382" t="s">
        <v>111</v>
      </c>
      <c r="I40" s="382"/>
      <c r="J40" s="382"/>
      <c r="K40" s="382" t="s">
        <v>102</v>
      </c>
      <c r="L40" s="382"/>
      <c r="M40" s="382"/>
      <c r="N40" s="378" t="s">
        <v>103</v>
      </c>
      <c r="O40" s="378"/>
      <c r="P40" s="378" t="s">
        <v>101</v>
      </c>
      <c r="Q40" s="378"/>
      <c r="R40" s="378" t="s">
        <v>102</v>
      </c>
      <c r="S40" s="378"/>
      <c r="T40" s="382" t="s">
        <v>111</v>
      </c>
      <c r="U40" s="382"/>
      <c r="V40" s="382"/>
      <c r="W40" s="382" t="s">
        <v>102</v>
      </c>
      <c r="X40" s="382"/>
      <c r="Y40" s="382"/>
      <c r="Z40" s="378" t="s">
        <v>103</v>
      </c>
      <c r="AA40" s="378"/>
    </row>
    <row r="41" spans="3:27" ht="11.25" customHeight="1">
      <c r="C41" s="379"/>
      <c r="D41" s="113" t="s">
        <v>104</v>
      </c>
      <c r="E41" s="113" t="s">
        <v>105</v>
      </c>
      <c r="F41" s="113" t="s">
        <v>104</v>
      </c>
      <c r="G41" s="113" t="s">
        <v>105</v>
      </c>
      <c r="H41" s="114" t="s">
        <v>51</v>
      </c>
      <c r="I41" s="114" t="s">
        <v>106</v>
      </c>
      <c r="J41" s="114" t="s">
        <v>50</v>
      </c>
      <c r="K41" s="114" t="s">
        <v>51</v>
      </c>
      <c r="L41" s="114" t="s">
        <v>106</v>
      </c>
      <c r="M41" s="114" t="s">
        <v>50</v>
      </c>
      <c r="N41" s="378" t="s">
        <v>101</v>
      </c>
      <c r="O41" s="378" t="s">
        <v>102</v>
      </c>
      <c r="P41" s="113" t="s">
        <v>104</v>
      </c>
      <c r="Q41" s="113" t="s">
        <v>105</v>
      </c>
      <c r="R41" s="113" t="s">
        <v>104</v>
      </c>
      <c r="S41" s="113" t="s">
        <v>105</v>
      </c>
      <c r="T41" s="114" t="s">
        <v>51</v>
      </c>
      <c r="U41" s="114" t="s">
        <v>106</v>
      </c>
      <c r="V41" s="114" t="s">
        <v>50</v>
      </c>
      <c r="W41" s="114" t="s">
        <v>51</v>
      </c>
      <c r="X41" s="114" t="s">
        <v>106</v>
      </c>
      <c r="Y41" s="114" t="s">
        <v>50</v>
      </c>
      <c r="Z41" s="378" t="s">
        <v>101</v>
      </c>
      <c r="AA41" s="378" t="s">
        <v>102</v>
      </c>
    </row>
    <row r="42" spans="3:27" ht="11.25" customHeight="1">
      <c r="C42" s="114"/>
      <c r="D42" s="114" t="s">
        <v>107</v>
      </c>
      <c r="E42" s="114" t="s">
        <v>107</v>
      </c>
      <c r="F42" s="114" t="s">
        <v>107</v>
      </c>
      <c r="G42" s="114" t="s">
        <v>107</v>
      </c>
      <c r="H42" s="114" t="s">
        <v>0</v>
      </c>
      <c r="I42" s="114" t="s">
        <v>0</v>
      </c>
      <c r="J42" s="114" t="s">
        <v>0</v>
      </c>
      <c r="K42" s="114" t="s">
        <v>0</v>
      </c>
      <c r="L42" s="114" t="s">
        <v>0</v>
      </c>
      <c r="M42" s="114" t="s">
        <v>0</v>
      </c>
      <c r="N42" s="378"/>
      <c r="O42" s="378"/>
      <c r="P42" s="114" t="s">
        <v>107</v>
      </c>
      <c r="Q42" s="114" t="s">
        <v>107</v>
      </c>
      <c r="R42" s="114" t="s">
        <v>107</v>
      </c>
      <c r="S42" s="114" t="s">
        <v>107</v>
      </c>
      <c r="T42" s="114" t="s">
        <v>0</v>
      </c>
      <c r="U42" s="114" t="s">
        <v>0</v>
      </c>
      <c r="V42" s="114" t="s">
        <v>0</v>
      </c>
      <c r="W42" s="114" t="s">
        <v>0</v>
      </c>
      <c r="X42" s="114" t="s">
        <v>0</v>
      </c>
      <c r="Y42" s="114" t="s">
        <v>0</v>
      </c>
      <c r="Z42" s="378"/>
      <c r="AA42" s="378"/>
    </row>
    <row r="43" spans="3:27" ht="11.25">
      <c r="C43" s="115" t="str">
        <f>Cable!C39</f>
        <v>1cX4</v>
      </c>
      <c r="D43" s="115">
        <f>Cable!D39</f>
        <v>8.8</v>
      </c>
      <c r="E43" s="115">
        <f>Cable!E39</f>
        <v>0.158</v>
      </c>
      <c r="F43" s="115">
        <f>Cable!F39</f>
        <v>5.52</v>
      </c>
      <c r="G43" s="115">
        <f>Cable!G39</f>
        <v>0.0158</v>
      </c>
      <c r="H43" s="115" t="str">
        <f>Cable!H39</f>
        <v> —  </v>
      </c>
      <c r="I43" s="115" t="str">
        <f>Cable!I39</f>
        <v> —  </v>
      </c>
      <c r="J43" s="115" t="str">
        <f>Cable!J39</f>
        <v> —  </v>
      </c>
      <c r="K43" s="115" t="str">
        <f>Cable!K39</f>
        <v> 39  </v>
      </c>
      <c r="L43" s="115" t="str">
        <f>Cable!L39</f>
        <v> 38  </v>
      </c>
      <c r="M43" s="115" t="str">
        <f>Cable!M39</f>
        <v> 35  </v>
      </c>
      <c r="N43" s="115" t="str">
        <f>Cable!N39</f>
        <v> 0.304  </v>
      </c>
      <c r="O43" s="115" t="str">
        <f>Cable!O39</f>
        <v> 0.460  </v>
      </c>
      <c r="P43" s="114">
        <f>Cable!R39</f>
        <v>1.555</v>
      </c>
      <c r="Q43" s="114">
        <f>Cable!S39</f>
        <v>0.102</v>
      </c>
      <c r="R43" s="114">
        <f>Cable!T39</f>
        <v>1.555</v>
      </c>
      <c r="S43" s="114">
        <f>Cable!U39</f>
        <v>0.102</v>
      </c>
      <c r="T43" s="114" t="str">
        <f>Cable!V39</f>
        <v> —  </v>
      </c>
      <c r="U43" s="114" t="str">
        <f>Cable!W39</f>
        <v> —  </v>
      </c>
      <c r="V43" s="114" t="str">
        <f>Cable!X39</f>
        <v> —  </v>
      </c>
      <c r="W43" s="114" t="str">
        <f>Cable!Y39</f>
        <v> 48  </v>
      </c>
      <c r="X43" s="114" t="str">
        <f>Cable!Z39</f>
        <v> 47  </v>
      </c>
      <c r="Y43" s="114" t="str">
        <f>Cable!AA39</f>
        <v> 45  </v>
      </c>
      <c r="Z43" s="114" t="str">
        <f>Cable!AB39</f>
        <v> 0.376  </v>
      </c>
      <c r="AA43" s="114" t="str">
        <f>Cable!AC39</f>
        <v> 0.572  </v>
      </c>
    </row>
    <row r="44" spans="3:27" ht="11.25">
      <c r="C44" s="115" t="str">
        <f>Cable!C40</f>
        <v>1cX6</v>
      </c>
      <c r="D44" s="115">
        <f>Cable!D40</f>
        <v>5.53</v>
      </c>
      <c r="E44" s="115">
        <f>Cable!E40</f>
        <v>0.148</v>
      </c>
      <c r="F44" s="115">
        <f>Cable!F40</f>
        <v>3.69</v>
      </c>
      <c r="G44" s="115">
        <f>Cable!G40</f>
        <v>0.148</v>
      </c>
      <c r="H44" s="115" t="str">
        <f>Cable!H40</f>
        <v> 39  </v>
      </c>
      <c r="I44" s="115" t="str">
        <f>Cable!I40</f>
        <v> 37  </v>
      </c>
      <c r="J44" s="115" t="str">
        <f>Cable!J40</f>
        <v> 35  </v>
      </c>
      <c r="K44" s="115" t="str">
        <f>Cable!K40</f>
        <v> 49  </v>
      </c>
      <c r="L44" s="115" t="str">
        <f>Cable!L40</f>
        <v> 48  </v>
      </c>
      <c r="M44" s="115" t="str">
        <f>Cable!M40</f>
        <v> 44  </v>
      </c>
      <c r="N44" s="115" t="str">
        <f>Cable!N40</f>
        <v> 0.456  </v>
      </c>
      <c r="O44" s="115" t="str">
        <f>Cable!O40</f>
        <v> 0.690  </v>
      </c>
      <c r="P44" s="114">
        <f>Cable!R40</f>
        <v>1.553</v>
      </c>
      <c r="Q44" s="114">
        <f>Cable!S40</f>
        <v>0.102</v>
      </c>
      <c r="R44" s="114">
        <f>Cable!T40</f>
        <v>1.553</v>
      </c>
      <c r="S44" s="114">
        <f>Cable!U40</f>
        <v>0.102</v>
      </c>
      <c r="T44" s="114" t="str">
        <f>Cable!V40</f>
        <v> 48  </v>
      </c>
      <c r="U44" s="114" t="str">
        <f>Cable!W40</f>
        <v> 45  </v>
      </c>
      <c r="V44" s="114" t="str">
        <f>Cable!X40</f>
        <v> 45  </v>
      </c>
      <c r="W44" s="114" t="str">
        <f>Cable!Y40</f>
        <v> 60  </v>
      </c>
      <c r="X44" s="114" t="str">
        <f>Cable!Z40</f>
        <v> 59  </v>
      </c>
      <c r="Y44" s="114" t="str">
        <f>Cable!AA40</f>
        <v> 57  </v>
      </c>
      <c r="Z44" s="114" t="str">
        <f>Cable!AB40</f>
        <v> 0.564  </v>
      </c>
      <c r="AA44" s="114" t="str">
        <f>Cable!AC40</f>
        <v> 0.858  </v>
      </c>
    </row>
    <row r="45" spans="3:27" s="110" customFormat="1" ht="11.25">
      <c r="C45" s="115" t="str">
        <f>Cable!C41</f>
        <v>1cX10</v>
      </c>
      <c r="D45" s="115">
        <f>Cable!D41</f>
        <v>3.7</v>
      </c>
      <c r="E45" s="115">
        <f>Cable!E41</f>
        <v>0.138</v>
      </c>
      <c r="F45" s="115">
        <f>Cable!F41</f>
        <v>2.19</v>
      </c>
      <c r="G45" s="115">
        <f>Cable!G41</f>
        <v>0.138</v>
      </c>
      <c r="H45" s="115" t="str">
        <f>Cable!H41</f>
        <v> 51  </v>
      </c>
      <c r="I45" s="115" t="str">
        <f>Cable!I41</f>
        <v> 51  </v>
      </c>
      <c r="J45" s="115" t="str">
        <f>Cable!J41</f>
        <v> 47  </v>
      </c>
      <c r="K45" s="115" t="str">
        <f>Cable!K41</f>
        <v> 65  </v>
      </c>
      <c r="L45" s="115" t="str">
        <f>Cable!L41</f>
        <v> 64  </v>
      </c>
      <c r="M45" s="115" t="str">
        <f>Cable!M41</f>
        <v> 60  </v>
      </c>
      <c r="N45" s="115" t="str">
        <f>Cable!N41</f>
        <v> 0.760  </v>
      </c>
      <c r="O45" s="115" t="str">
        <f>Cable!O41</f>
        <v> 1.150  </v>
      </c>
      <c r="P45" s="114">
        <f>Cable!R41</f>
        <v>1.553</v>
      </c>
      <c r="Q45" s="114">
        <f>Cable!S41</f>
        <v>0.102</v>
      </c>
      <c r="R45" s="114">
        <f>Cable!T41</f>
        <v>1.553</v>
      </c>
      <c r="S45" s="114">
        <f>Cable!U41</f>
        <v>0.102</v>
      </c>
      <c r="T45" s="114" t="str">
        <f>Cable!V41</f>
        <v> 62  </v>
      </c>
      <c r="U45" s="114" t="str">
        <f>Cable!W41</f>
        <v> 62  </v>
      </c>
      <c r="V45" s="114" t="str">
        <f>Cable!X41</f>
        <v> 61  </v>
      </c>
      <c r="W45" s="114" t="str">
        <f>Cable!Y41</f>
        <v> 80  </v>
      </c>
      <c r="X45" s="114" t="str">
        <f>Cable!Z41</f>
        <v> 78  </v>
      </c>
      <c r="Y45" s="114" t="str">
        <f>Cable!AA41</f>
        <v> 77  </v>
      </c>
      <c r="Z45" s="114" t="str">
        <f>Cable!AB41</f>
        <v> 0.940  </v>
      </c>
      <c r="AA45" s="114" t="str">
        <f>Cable!AC41</f>
        <v> 1.430  </v>
      </c>
    </row>
    <row r="46" spans="3:27" ht="11.25">
      <c r="C46" s="115" t="str">
        <f>Cable!C42</f>
        <v>1cX16</v>
      </c>
      <c r="D46" s="115">
        <f>Cable!D42</f>
        <v>2.29</v>
      </c>
      <c r="E46" s="115">
        <f>Cable!E42</f>
        <v>0.128</v>
      </c>
      <c r="F46" s="115">
        <f>Cable!F42</f>
        <v>1.38</v>
      </c>
      <c r="G46" s="115">
        <f>Cable!G42</f>
        <v>0.128</v>
      </c>
      <c r="H46" s="115" t="str">
        <f>Cable!H42</f>
        <v> 66  </v>
      </c>
      <c r="I46" s="115" t="str">
        <f>Cable!I42</f>
        <v> 65  </v>
      </c>
      <c r="J46" s="115" t="str">
        <f>Cable!J42</f>
        <v> 64  </v>
      </c>
      <c r="K46" s="115" t="str">
        <f>Cable!K42</f>
        <v> 85  </v>
      </c>
      <c r="L46" s="115" t="str">
        <f>Cable!L42</f>
        <v> 83  </v>
      </c>
      <c r="M46" s="115" t="str">
        <f>Cable!M42</f>
        <v> 82  </v>
      </c>
      <c r="N46" s="115" t="str">
        <f>Cable!N42</f>
        <v> 1.220  </v>
      </c>
      <c r="O46" s="115" t="str">
        <f>Cable!O42</f>
        <v> 1.84  </v>
      </c>
      <c r="P46" s="114">
        <f>Cable!R42</f>
        <v>1.54</v>
      </c>
      <c r="Q46" s="114">
        <f>Cable!S42</f>
        <v>0.102</v>
      </c>
      <c r="R46" s="114">
        <f>Cable!T42</f>
        <v>1.54</v>
      </c>
      <c r="S46" s="114">
        <f>Cable!U42</f>
        <v>0.102</v>
      </c>
      <c r="T46" s="114" t="str">
        <f>Cable!V42</f>
        <v> 81  </v>
      </c>
      <c r="U46" s="114" t="str">
        <f>Cable!W42</f>
        <v> 80  </v>
      </c>
      <c r="V46" s="114" t="str">
        <f>Cable!X42</f>
        <v> 83  </v>
      </c>
      <c r="W46" s="114" t="str">
        <f>Cable!Y42</f>
        <v> 104  </v>
      </c>
      <c r="X46" s="114" t="str">
        <f>Cable!Z42</f>
        <v> 102  </v>
      </c>
      <c r="Y46" s="114" t="str">
        <f>Cable!AA42</f>
        <v> 106  </v>
      </c>
      <c r="Z46" s="114" t="str">
        <f>Cable!AB42</f>
        <v> 1.504  </v>
      </c>
      <c r="AA46" s="114" t="str">
        <f>Cable!AC42</f>
        <v> 2.288  </v>
      </c>
    </row>
    <row r="47" spans="3:27" ht="11.25">
      <c r="C47" s="115" t="str">
        <f>Cable!C43</f>
        <v>1cX25</v>
      </c>
      <c r="D47" s="115">
        <f>Cable!D43</f>
        <v>1.44</v>
      </c>
      <c r="E47" s="115">
        <f>Cable!E43</f>
        <v>0.12</v>
      </c>
      <c r="F47" s="115">
        <f>Cable!F43</f>
        <v>0.87</v>
      </c>
      <c r="G47" s="115">
        <f>Cable!G43</f>
        <v>0.12</v>
      </c>
      <c r="H47" s="115" t="str">
        <f>Cable!H43</f>
        <v> 86  </v>
      </c>
      <c r="I47" s="115" t="str">
        <f>Cable!I43</f>
        <v> 84  </v>
      </c>
      <c r="J47" s="115" t="str">
        <f>Cable!J43</f>
        <v> 84  </v>
      </c>
      <c r="K47" s="115" t="str">
        <f>Cable!K43</f>
        <v> 110  </v>
      </c>
      <c r="L47" s="115" t="str">
        <f>Cable!L43</f>
        <v> 110  </v>
      </c>
      <c r="M47" s="115" t="str">
        <f>Cable!M43</f>
        <v> 110  </v>
      </c>
      <c r="N47" s="115" t="str">
        <f>Cable!N43</f>
        <v> 1.900  </v>
      </c>
      <c r="O47" s="115" t="str">
        <f>Cable!O43</f>
        <v> 2.88  </v>
      </c>
      <c r="P47" s="114">
        <f>Cable!R43</f>
        <v>1.54</v>
      </c>
      <c r="Q47" s="114">
        <f>Cable!S43</f>
        <v>0.102</v>
      </c>
      <c r="R47" s="114">
        <f>Cable!T43</f>
        <v>0.93</v>
      </c>
      <c r="S47" s="114">
        <f>Cable!U43</f>
        <v>0.102</v>
      </c>
      <c r="T47" s="114" t="str">
        <f>Cable!V43</f>
        <v> 99  </v>
      </c>
      <c r="U47" s="114" t="str">
        <f>Cable!W43</f>
        <v> 90  </v>
      </c>
      <c r="V47" s="114" t="str">
        <f>Cable!X43</f>
        <v> 115  </v>
      </c>
      <c r="W47" s="114" t="str">
        <f>Cable!Y43</f>
        <v> 130  </v>
      </c>
      <c r="X47" s="114" t="str">
        <f>Cable!Z43</f>
        <v> 115  </v>
      </c>
      <c r="Y47" s="114" t="str">
        <f>Cable!AA43</f>
        <v> 145  </v>
      </c>
      <c r="Z47" s="114" t="str">
        <f>Cable!AB43</f>
        <v> 2.350  </v>
      </c>
      <c r="AA47" s="114" t="str">
        <f>Cable!AC43</f>
        <v> 3.575  </v>
      </c>
    </row>
    <row r="48" spans="3:27" ht="11.25">
      <c r="C48" s="115" t="str">
        <f>Cable!C44</f>
        <v>1cX35</v>
      </c>
      <c r="D48" s="115">
        <f>Cable!D44</f>
        <v>1.04</v>
      </c>
      <c r="E48" s="115">
        <f>Cable!E44</f>
        <v>0.114</v>
      </c>
      <c r="F48" s="115">
        <f>Cable!F44</f>
        <v>0.627</v>
      </c>
      <c r="G48" s="115">
        <f>Cable!G44</f>
        <v>0.114</v>
      </c>
      <c r="H48" s="115" t="str">
        <f>Cable!H44</f>
        <v> 100  </v>
      </c>
      <c r="I48" s="115" t="str">
        <f>Cable!I44</f>
        <v> 100  </v>
      </c>
      <c r="J48" s="115" t="str">
        <f>Cable!J44</f>
        <v> 105  </v>
      </c>
      <c r="K48" s="115" t="str">
        <f>Cable!K44</f>
        <v> 130  </v>
      </c>
      <c r="L48" s="115" t="str">
        <f>Cable!L44</f>
        <v> 125  </v>
      </c>
      <c r="M48" s="115" t="str">
        <f>Cable!M44</f>
        <v> 130  </v>
      </c>
      <c r="N48" s="115" t="str">
        <f>Cable!N44</f>
        <v> 2.660  </v>
      </c>
      <c r="O48" s="115" t="str">
        <f>Cable!O44</f>
        <v> 4.03  </v>
      </c>
      <c r="P48" s="114">
        <f>Cable!R44</f>
        <v>1.11</v>
      </c>
      <c r="Q48" s="114">
        <f>Cable!S44</f>
        <v>0.097</v>
      </c>
      <c r="R48" s="114">
        <f>Cable!T44</f>
        <v>0.671</v>
      </c>
      <c r="S48" s="114">
        <f>Cable!U44</f>
        <v>0.097</v>
      </c>
      <c r="T48" s="114" t="str">
        <f>Cable!V44</f>
        <v> 117  </v>
      </c>
      <c r="U48" s="114" t="str">
        <f>Cable!W44</f>
        <v> 110  </v>
      </c>
      <c r="V48" s="114" t="str">
        <f>Cable!X44</f>
        <v> 135  </v>
      </c>
      <c r="W48" s="114" t="str">
        <f>Cable!Y44</f>
        <v> 155  </v>
      </c>
      <c r="X48" s="114" t="str">
        <f>Cable!Z44</f>
        <v> 140  </v>
      </c>
      <c r="Y48" s="114" t="str">
        <f>Cable!AA44</f>
        <v> 175  </v>
      </c>
      <c r="Z48" s="114" t="str">
        <f>Cable!AB44</f>
        <v> 3.290  </v>
      </c>
      <c r="AA48" s="114" t="str">
        <f>Cable!AC44</f>
        <v> 5.005  </v>
      </c>
    </row>
    <row r="49" spans="3:27" ht="11.25">
      <c r="C49" s="115" t="str">
        <f>Cable!C45</f>
        <v>1cX50</v>
      </c>
      <c r="D49" s="115">
        <f>Cable!D45</f>
        <v>0.77</v>
      </c>
      <c r="E49" s="115">
        <f>Cable!E45</f>
        <v>0.11</v>
      </c>
      <c r="F49" s="115">
        <f>Cable!F45</f>
        <v>0.463</v>
      </c>
      <c r="G49" s="115">
        <f>Cable!G45</f>
        <v>0.11</v>
      </c>
      <c r="H49" s="115" t="str">
        <f>Cable!H45</f>
        <v> 120  </v>
      </c>
      <c r="I49" s="115" t="str">
        <f>Cable!I45</f>
        <v> 115  </v>
      </c>
      <c r="J49" s="115" t="str">
        <f>Cable!J45</f>
        <v> 130  </v>
      </c>
      <c r="K49" s="115" t="str">
        <f>Cable!K45</f>
        <v> 155  </v>
      </c>
      <c r="L49" s="115" t="str">
        <f>Cable!L45</f>
        <v> 150  </v>
      </c>
      <c r="M49" s="115" t="str">
        <f>Cable!M45</f>
        <v> 165  </v>
      </c>
      <c r="N49" s="115" t="str">
        <f>Cable!N45</f>
        <v> 3.800  </v>
      </c>
      <c r="O49" s="115" t="str">
        <f>Cable!O45</f>
        <v> 5.75  </v>
      </c>
      <c r="P49" s="114">
        <f>Cable!R45</f>
        <v>0.82</v>
      </c>
      <c r="Q49" s="114">
        <f>Cable!S45</f>
        <v>0.092</v>
      </c>
      <c r="R49" s="114">
        <f>Cable!T45</f>
        <v>0.495</v>
      </c>
      <c r="S49" s="114">
        <f>Cable!U45</f>
        <v>0.092</v>
      </c>
      <c r="T49" s="114" t="str">
        <f>Cable!V45</f>
        <v> 138  </v>
      </c>
      <c r="U49" s="114" t="str">
        <f>Cable!W45</f>
        <v> 125  </v>
      </c>
      <c r="V49" s="114" t="str">
        <f>Cable!X45</f>
        <v> 170  </v>
      </c>
      <c r="W49" s="114" t="str">
        <f>Cable!Y45</f>
        <v> 185  </v>
      </c>
      <c r="X49" s="114" t="str">
        <f>Cable!Z45</f>
        <v> 165  </v>
      </c>
      <c r="Y49" s="114" t="str">
        <f>Cable!AA45</f>
        <v> 215  </v>
      </c>
      <c r="Z49" s="114" t="str">
        <f>Cable!AB45</f>
        <v> 4.700  </v>
      </c>
      <c r="AA49" s="114" t="str">
        <f>Cable!AC45</f>
        <v> 7.150  </v>
      </c>
    </row>
    <row r="50" spans="3:27" ht="11.25">
      <c r="C50" s="115" t="str">
        <f>Cable!C46</f>
        <v>1cX70</v>
      </c>
      <c r="D50" s="115">
        <f>Cable!D46</f>
        <v>0.53</v>
      </c>
      <c r="E50" s="115">
        <f>Cable!E46</f>
        <v>0.103</v>
      </c>
      <c r="F50" s="115">
        <f>Cable!F46</f>
        <v>0.321</v>
      </c>
      <c r="G50" s="115">
        <f>Cable!G46</f>
        <v>0.103</v>
      </c>
      <c r="H50" s="115" t="str">
        <f>Cable!H46</f>
        <v> 140  </v>
      </c>
      <c r="I50" s="115" t="str">
        <f>Cable!I46</f>
        <v> 135  </v>
      </c>
      <c r="J50" s="115" t="str">
        <f>Cable!J46</f>
        <v> 155  </v>
      </c>
      <c r="K50" s="115" t="str">
        <f>Cable!K46</f>
        <v> 190  </v>
      </c>
      <c r="L50" s="115" t="str">
        <f>Cable!L46</f>
        <v> 175  </v>
      </c>
      <c r="M50" s="115" t="str">
        <f>Cable!M46</f>
        <v> 205  </v>
      </c>
      <c r="N50" s="115" t="str">
        <f>Cable!N46</f>
        <v> 5.320  </v>
      </c>
      <c r="O50" s="115" t="str">
        <f>Cable!O46</f>
        <v> 8.05  </v>
      </c>
      <c r="P50" s="114">
        <f>Cable!R46</f>
        <v>0.56</v>
      </c>
      <c r="Q50" s="114">
        <f>Cable!S46</f>
        <v>0.088</v>
      </c>
      <c r="R50" s="114">
        <f>Cable!T46</f>
        <v>0.343</v>
      </c>
      <c r="S50" s="114">
        <f>Cable!U46</f>
        <v>0.088</v>
      </c>
      <c r="T50" s="114" t="str">
        <f>Cable!V46</f>
        <v> 168  </v>
      </c>
      <c r="U50" s="114" t="str">
        <f>Cable!W46</f>
        <v> 155  </v>
      </c>
      <c r="V50" s="114" t="str">
        <f>Cable!X46</f>
        <v> 210  </v>
      </c>
      <c r="W50" s="114" t="str">
        <f>Cable!Y46</f>
        <v> 225  </v>
      </c>
      <c r="X50" s="114" t="str">
        <f>Cable!Z46</f>
        <v> 200  </v>
      </c>
      <c r="Y50" s="114" t="str">
        <f>Cable!AA46</f>
        <v> 270  </v>
      </c>
      <c r="Z50" s="114" t="str">
        <f>Cable!AB46</f>
        <v> 6.580  </v>
      </c>
      <c r="AA50" s="114" t="str">
        <f>Cable!AC46</f>
        <v> 10.01  </v>
      </c>
    </row>
    <row r="51" spans="3:27" ht="11.25">
      <c r="C51" s="115" t="str">
        <f>Cable!C47</f>
        <v>1cX95</v>
      </c>
      <c r="D51" s="115">
        <f>Cable!D47</f>
        <v>0.38</v>
      </c>
      <c r="E51" s="115">
        <f>Cable!E47</f>
        <v>0.101</v>
      </c>
      <c r="F51" s="115">
        <f>Cable!F47</f>
        <v>0.231</v>
      </c>
      <c r="G51" s="115">
        <f>Cable!G47</f>
        <v>0.101</v>
      </c>
      <c r="H51" s="115" t="str">
        <f>Cable!H47</f>
        <v> 175  </v>
      </c>
      <c r="I51" s="115" t="str">
        <f>Cable!I47</f>
        <v> 155  </v>
      </c>
      <c r="J51" s="115" t="str">
        <f>Cable!J47</f>
        <v> 190  </v>
      </c>
      <c r="K51" s="115" t="str">
        <f>Cable!K47</f>
        <v> 220  </v>
      </c>
      <c r="L51" s="115" t="str">
        <f>Cable!L47</f>
        <v> 200  </v>
      </c>
      <c r="M51" s="115" t="str">
        <f>Cable!M47</f>
        <v> 245  </v>
      </c>
      <c r="N51" s="115" t="str">
        <f>Cable!N47</f>
        <v> 7.220  </v>
      </c>
      <c r="O51" s="115" t="str">
        <f>Cable!O47</f>
        <v> 10.90  </v>
      </c>
      <c r="P51" s="114">
        <f>Cable!R47</f>
        <v>0.41</v>
      </c>
      <c r="Q51" s="114">
        <f>Cable!S47</f>
        <v>0.085</v>
      </c>
      <c r="R51" s="114">
        <f>Cable!T47</f>
        <v>0.247</v>
      </c>
      <c r="S51" s="114">
        <f>Cable!U47</f>
        <v>0.085</v>
      </c>
      <c r="T51" s="114" t="str">
        <f>Cable!V47</f>
        <v> 204  </v>
      </c>
      <c r="U51" s="114" t="str">
        <f>Cable!W47</f>
        <v> 185  </v>
      </c>
      <c r="V51" s="114" t="str">
        <f>Cable!X47</f>
        <v> 255  </v>
      </c>
      <c r="W51" s="114" t="str">
        <f>Cable!Y47</f>
        <v> 265  </v>
      </c>
      <c r="X51" s="114" t="str">
        <f>Cable!Z47</f>
        <v> 235  </v>
      </c>
      <c r="Y51" s="114" t="str">
        <f>Cable!AA47</f>
        <v> 330  </v>
      </c>
      <c r="Z51" s="114" t="str">
        <f>Cable!AB47</f>
        <v> 8.930  </v>
      </c>
      <c r="AA51" s="114" t="str">
        <f>Cable!AC47</f>
        <v> 13.59  </v>
      </c>
    </row>
    <row r="52" spans="3:27" ht="11.25">
      <c r="C52" s="115" t="str">
        <f>Cable!C48</f>
        <v>1cX120</v>
      </c>
      <c r="D52" s="115">
        <f>Cable!D48</f>
        <v>0.3</v>
      </c>
      <c r="E52" s="115">
        <f>Cable!E48</f>
        <v>0.096</v>
      </c>
      <c r="F52" s="115">
        <f>Cable!F48</f>
        <v>0.184</v>
      </c>
      <c r="G52" s="115">
        <f>Cable!G48</f>
        <v>0.096</v>
      </c>
      <c r="H52" s="115" t="str">
        <f>Cable!H48</f>
        <v> 195  </v>
      </c>
      <c r="I52" s="115" t="str">
        <f>Cable!I48</f>
        <v> 170  </v>
      </c>
      <c r="J52" s="115" t="str">
        <f>Cable!J48</f>
        <v> 220  </v>
      </c>
      <c r="K52" s="115" t="str">
        <f>Cable!K48</f>
        <v> 250  </v>
      </c>
      <c r="L52" s="115" t="str">
        <f>Cable!L48</f>
        <v> 220  </v>
      </c>
      <c r="M52" s="115" t="str">
        <f>Cable!M48</f>
        <v> 280  </v>
      </c>
      <c r="N52" s="115" t="str">
        <f>Cable!N48</f>
        <v> 9.120  </v>
      </c>
      <c r="O52" s="115" t="str">
        <f>Cable!O48</f>
        <v> 13.80  </v>
      </c>
      <c r="P52" s="114">
        <f>Cable!R48</f>
        <v>0.32</v>
      </c>
      <c r="Q52" s="114">
        <f>Cable!S48</f>
        <v>0.082</v>
      </c>
      <c r="R52" s="114">
        <f>Cable!T48</f>
        <v>0.196</v>
      </c>
      <c r="S52" s="114">
        <f>Cable!U48</f>
        <v>0.082</v>
      </c>
      <c r="T52" s="114" t="str">
        <f>Cable!V48</f>
        <v> 230  </v>
      </c>
      <c r="U52" s="114" t="str">
        <f>Cable!W48</f>
        <v> 210  </v>
      </c>
      <c r="V52" s="114" t="str">
        <f>Cable!X48</f>
        <v> 300  </v>
      </c>
      <c r="W52" s="114" t="str">
        <f>Cable!Y48</f>
        <v> 300  </v>
      </c>
      <c r="X52" s="114" t="str">
        <f>Cable!Z48</f>
        <v> 265  </v>
      </c>
      <c r="Y52" s="114" t="str">
        <f>Cable!AA48</f>
        <v> 380  </v>
      </c>
      <c r="Z52" s="114" t="str">
        <f>Cable!AB48</f>
        <v> 11.28  </v>
      </c>
      <c r="AA52" s="114" t="str">
        <f>Cable!AC48</f>
        <v> 17.16  </v>
      </c>
    </row>
    <row r="53" spans="3:27" ht="11.25">
      <c r="C53" s="115" t="str">
        <f>Cable!C49</f>
        <v>1cX150  </v>
      </c>
      <c r="D53" s="115">
        <f>Cable!D49</f>
        <v>0.25</v>
      </c>
      <c r="E53" s="115">
        <f>Cable!E49</f>
        <v>0.094</v>
      </c>
      <c r="F53" s="115">
        <f>Cable!F49</f>
        <v>0.149</v>
      </c>
      <c r="G53" s="115">
        <f>Cable!G49</f>
        <v>0.094</v>
      </c>
      <c r="H53" s="115" t="str">
        <f>Cable!H49</f>
        <v> 220  </v>
      </c>
      <c r="I53" s="115" t="str">
        <f>Cable!I49</f>
        <v> 190  </v>
      </c>
      <c r="J53" s="115" t="str">
        <f>Cable!J49</f>
        <v> 250  </v>
      </c>
      <c r="K53" s="115" t="str">
        <f>Cable!K49</f>
        <v> 280  </v>
      </c>
      <c r="L53" s="115" t="str">
        <f>Cable!L49</f>
        <v> 245  </v>
      </c>
      <c r="M53" s="115" t="str">
        <f>Cable!M49</f>
        <v> 320  </v>
      </c>
      <c r="N53" s="115" t="str">
        <f>Cable!N49</f>
        <v> 11.40  </v>
      </c>
      <c r="O53" s="115" t="str">
        <f>Cable!O49</f>
        <v> 17.30  </v>
      </c>
      <c r="P53" s="114">
        <f>Cable!R49</f>
        <v>0.265</v>
      </c>
      <c r="Q53" s="114">
        <f>Cable!S49</f>
        <v>0.082</v>
      </c>
      <c r="R53" s="114">
        <f>Cable!T49</f>
        <v>0.159</v>
      </c>
      <c r="S53" s="114">
        <f>Cable!U49</f>
        <v>0.082</v>
      </c>
      <c r="T53" s="114" t="str">
        <f>Cable!V49</f>
        <v> 265  </v>
      </c>
      <c r="U53" s="114" t="str">
        <f>Cable!W49</f>
        <v> 230  </v>
      </c>
      <c r="V53" s="114" t="str">
        <f>Cable!X49</f>
        <v> 342  </v>
      </c>
      <c r="W53" s="114" t="str">
        <f>Cable!Y49</f>
        <v> 335  </v>
      </c>
      <c r="X53" s="114" t="str">
        <f>Cable!Z49</f>
        <v> 300  </v>
      </c>
      <c r="Y53" s="114" t="str">
        <f>Cable!AA49</f>
        <v> 430  </v>
      </c>
      <c r="Z53" s="114" t="str">
        <f>Cable!AB49</f>
        <v> 14.10  </v>
      </c>
      <c r="AA53" s="114" t="str">
        <f>Cable!AC49</f>
        <v> 21.45  </v>
      </c>
    </row>
    <row r="54" spans="3:27" ht="11.25">
      <c r="C54" s="115" t="str">
        <f>Cable!C50</f>
        <v>1cX185  </v>
      </c>
      <c r="D54" s="115">
        <f>Cable!D50</f>
        <v>0.2</v>
      </c>
      <c r="E54" s="115">
        <f>Cable!E50</f>
        <v>0.092</v>
      </c>
      <c r="F54" s="115">
        <f>Cable!F50</f>
        <v>0.12</v>
      </c>
      <c r="G54" s="115">
        <f>Cable!G50</f>
        <v>0.092</v>
      </c>
      <c r="H54" s="115" t="str">
        <f>Cable!H50</f>
        <v> 240  </v>
      </c>
      <c r="I54" s="115" t="str">
        <f>Cable!I50</f>
        <v> 210  </v>
      </c>
      <c r="J54" s="115" t="str">
        <f>Cable!J50</f>
        <v> 290  </v>
      </c>
      <c r="K54" s="115" t="str">
        <f>Cable!K50</f>
        <v> 305  </v>
      </c>
      <c r="L54" s="115" t="str">
        <f>Cable!L50</f>
        <v> 260  </v>
      </c>
      <c r="M54" s="115" t="str">
        <f>Cable!M50</f>
        <v> 370  </v>
      </c>
      <c r="N54" s="115" t="str">
        <f>Cable!N50</f>
        <v> 14.10  </v>
      </c>
      <c r="O54" s="115" t="str">
        <f>Cable!O50</f>
        <v> 21.30  </v>
      </c>
      <c r="P54" s="114">
        <f>Cable!R50</f>
        <v>0.211</v>
      </c>
      <c r="Q54" s="114">
        <f>Cable!S50</f>
        <v>0.082</v>
      </c>
      <c r="R54" s="114">
        <f>Cable!T50</f>
        <v>0.127</v>
      </c>
      <c r="S54" s="114">
        <f>Cable!U50</f>
        <v>0.082</v>
      </c>
      <c r="T54" s="114" t="str">
        <f>Cable!V50</f>
        <v> 295  </v>
      </c>
      <c r="U54" s="114" t="str">
        <f>Cable!W50</f>
        <v> 260  </v>
      </c>
      <c r="V54" s="114" t="str">
        <f>Cable!X50</f>
        <v> 385  </v>
      </c>
      <c r="W54" s="114" t="str">
        <f>Cable!Y50</f>
        <v> 380  </v>
      </c>
      <c r="X54" s="114" t="str">
        <f>Cable!Z50</f>
        <v> 335  </v>
      </c>
      <c r="Y54" s="114" t="str">
        <f>Cable!AA50</f>
        <v> 495  </v>
      </c>
      <c r="Z54" s="114" t="str">
        <f>Cable!AB50</f>
        <v> 17.39  </v>
      </c>
      <c r="AA54" s="114" t="str">
        <f>Cable!AC50</f>
        <v> 26.46  </v>
      </c>
    </row>
    <row r="55" spans="3:27" ht="11.25">
      <c r="C55" s="115" t="str">
        <f>Cable!C51</f>
        <v>1cX240  </v>
      </c>
      <c r="D55" s="115">
        <f>Cable!D51</f>
        <v>0.15</v>
      </c>
      <c r="E55" s="115">
        <f>Cable!E51</f>
        <v>0.09</v>
      </c>
      <c r="F55" s="115">
        <f>Cable!F51</f>
        <v>0.091</v>
      </c>
      <c r="G55" s="115">
        <f>Cable!G51</f>
        <v>0.09</v>
      </c>
      <c r="H55" s="115" t="str">
        <f>Cable!H51</f>
        <v> 270  </v>
      </c>
      <c r="I55" s="115" t="str">
        <f>Cable!I51</f>
        <v> 225  </v>
      </c>
      <c r="J55" s="115" t="str">
        <f>Cable!J51</f>
        <v> 335  </v>
      </c>
      <c r="K55" s="115" t="str">
        <f>Cable!K51</f>
        <v> 345  </v>
      </c>
      <c r="L55" s="115" t="str">
        <f>Cable!L51</f>
        <v> 285  </v>
      </c>
      <c r="M55" s="115" t="str">
        <f>Cable!M51</f>
        <v> 425  </v>
      </c>
      <c r="N55" s="115" t="str">
        <f>Cable!N51</f>
        <v> 18.20  </v>
      </c>
      <c r="O55" s="115" t="str">
        <f>Cable!O51</f>
        <v> 27.30  </v>
      </c>
      <c r="P55" s="114">
        <f>Cable!R51</f>
        <v>0.162</v>
      </c>
      <c r="Q55" s="114">
        <f>Cable!S51</f>
        <v>0.079</v>
      </c>
      <c r="R55" s="114">
        <f>Cable!T51</f>
        <v>0.0965</v>
      </c>
      <c r="S55" s="114">
        <f>Cable!U51</f>
        <v>0.079</v>
      </c>
      <c r="T55" s="114" t="str">
        <f>Cable!V51</f>
        <v> 340  </v>
      </c>
      <c r="U55" s="114" t="str">
        <f>Cable!W51</f>
        <v> 300  </v>
      </c>
      <c r="V55" s="114" t="str">
        <f>Cable!X51</f>
        <v> 450  </v>
      </c>
      <c r="W55" s="114" t="str">
        <f>Cable!Y51</f>
        <v> 435  </v>
      </c>
      <c r="X55" s="114" t="str">
        <f>Cable!Z51</f>
        <v> 385  </v>
      </c>
      <c r="Y55" s="114" t="str">
        <f>Cable!AA51</f>
        <v> 590  </v>
      </c>
      <c r="Z55" s="114" t="str">
        <f>Cable!AB51</f>
        <v> 22.56  </v>
      </c>
      <c r="AA55" s="114" t="str">
        <f>Cable!AC51</f>
        <v> 34.32  </v>
      </c>
    </row>
    <row r="56" spans="3:27" ht="11.25">
      <c r="C56" s="115" t="str">
        <f>Cable!C52</f>
        <v>1cX300  </v>
      </c>
      <c r="D56" s="115">
        <f>Cable!D52</f>
        <v>0.12</v>
      </c>
      <c r="E56" s="115">
        <f>Cable!E52</f>
        <v>0.088</v>
      </c>
      <c r="F56" s="115">
        <f>Cable!F52</f>
        <v>0.074</v>
      </c>
      <c r="G56" s="115">
        <f>Cable!G52</f>
        <v>0.088</v>
      </c>
      <c r="H56" s="115" t="str">
        <f>Cable!H52</f>
        <v> 295  </v>
      </c>
      <c r="I56" s="115" t="str">
        <f>Cable!I52</f>
        <v> 245  </v>
      </c>
      <c r="J56" s="115" t="str">
        <f>Cable!J52</f>
        <v> 380  </v>
      </c>
      <c r="K56" s="115" t="str">
        <f>Cable!K52</f>
        <v> 375  </v>
      </c>
      <c r="L56" s="115" t="str">
        <f>Cable!L52</f>
        <v> 310  </v>
      </c>
      <c r="M56" s="115" t="str">
        <f>Cable!M52</f>
        <v> 475  </v>
      </c>
      <c r="N56" s="115">
        <f>Cable!N52</f>
        <v>22.8</v>
      </c>
      <c r="O56" s="115" t="str">
        <f>Cable!O52</f>
        <v> 34.50  </v>
      </c>
      <c r="P56" s="114">
        <f>Cable!R52</f>
        <v>0.13</v>
      </c>
      <c r="Q56" s="114">
        <f>Cable!S52</f>
        <v>0.078</v>
      </c>
      <c r="R56" s="114">
        <f>Cable!T52</f>
        <v>0.0769</v>
      </c>
      <c r="S56" s="114">
        <f>Cable!U52</f>
        <v>0.078</v>
      </c>
      <c r="T56" s="114" t="str">
        <f>Cable!V52</f>
        <v> 390  </v>
      </c>
      <c r="U56" s="114" t="str">
        <f>Cable!W52</f>
        <v> 335  </v>
      </c>
      <c r="V56" s="114" t="str">
        <f>Cable!X52</f>
        <v> 519  </v>
      </c>
      <c r="W56" s="114" t="str">
        <f>Cable!Y52</f>
        <v> 490  </v>
      </c>
      <c r="X56" s="114" t="str">
        <f>Cable!Z52</f>
        <v> 430  </v>
      </c>
      <c r="Y56" s="114" t="str">
        <f>Cable!AA52</f>
        <v> 670  </v>
      </c>
      <c r="Z56" s="114" t="str">
        <f>Cable!AB52</f>
        <v> 28.20  </v>
      </c>
      <c r="AA56" s="114" t="str">
        <f>Cable!AC52</f>
        <v> 42.90  </v>
      </c>
    </row>
    <row r="57" spans="3:27" ht="11.25">
      <c r="C57" s="115" t="str">
        <f>Cable!C53</f>
        <v>1cX400  </v>
      </c>
      <c r="D57" s="115">
        <f>Cable!D53</f>
        <v>0.094</v>
      </c>
      <c r="E57" s="115">
        <f>Cable!E53</f>
        <v>0.088</v>
      </c>
      <c r="F57" s="115">
        <f>Cable!F53</f>
        <v>0.059</v>
      </c>
      <c r="G57" s="115">
        <f>Cable!G53</f>
        <v>0.088</v>
      </c>
      <c r="H57" s="115" t="str">
        <f>Cable!H53</f>
        <v> 325  </v>
      </c>
      <c r="I57" s="115" t="str">
        <f>Cable!I53</f>
        <v> 275  </v>
      </c>
      <c r="J57" s="115" t="str">
        <f>Cable!J53</f>
        <v> 435  </v>
      </c>
      <c r="K57" s="115" t="str">
        <f>Cable!K53</f>
        <v> 400  </v>
      </c>
      <c r="L57" s="115" t="str">
        <f>Cable!L53</f>
        <v> 335  </v>
      </c>
      <c r="M57" s="115" t="str">
        <f>Cable!M53</f>
        <v> 550  </v>
      </c>
      <c r="N57" s="115" t="str">
        <f>Cable!N53</f>
        <v> 30.40  </v>
      </c>
      <c r="O57" s="115" t="str">
        <f>Cable!O53</f>
        <v> 46.00  </v>
      </c>
      <c r="P57" s="114">
        <f>Cable!R53</f>
        <v>0.1023</v>
      </c>
      <c r="Q57" s="114">
        <f>Cable!S53</f>
        <v>0.077</v>
      </c>
      <c r="R57" s="114">
        <f>Cable!T53</f>
        <v>0.0608</v>
      </c>
      <c r="S57" s="114">
        <f>Cable!U53</f>
        <v>0.077</v>
      </c>
      <c r="T57" s="114" t="str">
        <f>Cable!V53</f>
        <v> 450  </v>
      </c>
      <c r="U57" s="114" t="str">
        <f>Cable!W53</f>
        <v> 380  </v>
      </c>
      <c r="V57" s="114" t="str">
        <f>Cable!X53</f>
        <v> 605  </v>
      </c>
      <c r="W57" s="114" t="str">
        <f>Cable!Y53</f>
        <v> 550  </v>
      </c>
      <c r="X57" s="114" t="str">
        <f>Cable!Z53</f>
        <v> 480  </v>
      </c>
      <c r="Y57" s="114" t="str">
        <f>Cable!AA53</f>
        <v> 780  </v>
      </c>
      <c r="Z57" s="114" t="str">
        <f>Cable!AB53</f>
        <v> 37.60  </v>
      </c>
      <c r="AA57" s="114" t="str">
        <f>Cable!AC53</f>
        <v> 57.20  </v>
      </c>
    </row>
    <row r="58" spans="3:27" ht="11.25">
      <c r="C58" s="115" t="str">
        <f>Cable!C54</f>
        <v>1cX 500  </v>
      </c>
      <c r="D58" s="115">
        <f>Cable!D54</f>
        <v>0.0726</v>
      </c>
      <c r="E58" s="115">
        <f>Cable!E54</f>
        <v>0.087</v>
      </c>
      <c r="F58" s="115">
        <f>Cable!F54</f>
        <v>0.046</v>
      </c>
      <c r="G58" s="115">
        <f>Cable!G54</f>
        <v>0.087</v>
      </c>
      <c r="H58" s="115" t="str">
        <f>Cable!H54</f>
        <v> 345  </v>
      </c>
      <c r="I58" s="115" t="str">
        <f>Cable!I54</f>
        <v> 295  </v>
      </c>
      <c r="J58" s="115" t="str">
        <f>Cable!J54</f>
        <v> 480  </v>
      </c>
      <c r="K58" s="115" t="str">
        <f>Cable!K54</f>
        <v> 425  </v>
      </c>
      <c r="L58" s="115" t="str">
        <f>Cable!L54</f>
        <v> 355  </v>
      </c>
      <c r="M58" s="115" t="str">
        <f>Cable!M54</f>
        <v> 590  </v>
      </c>
      <c r="N58" s="115" t="str">
        <f>Cable!N54</f>
        <v> 38.00  </v>
      </c>
      <c r="O58" s="115" t="str">
        <f>Cable!O54</f>
        <v> 57.50  </v>
      </c>
      <c r="P58" s="114">
        <f>Cable!R54</f>
        <v>0.0808</v>
      </c>
      <c r="Q58" s="114">
        <f>Cable!S54</f>
        <v>0.076</v>
      </c>
      <c r="R58" s="114">
        <f>Cable!T54</f>
        <v>0.0468</v>
      </c>
      <c r="S58" s="114">
        <f>Cable!U54</f>
        <v>0.076</v>
      </c>
      <c r="T58" s="114" t="str">
        <f>Cable!V54</f>
        <v> 500  </v>
      </c>
      <c r="U58" s="114" t="str">
        <f>Cable!W54</f>
        <v> 430  </v>
      </c>
      <c r="V58" s="114" t="str">
        <f>Cable!X54</f>
        <v> 700  </v>
      </c>
      <c r="W58" s="114" t="str">
        <f>Cable!Y54</f>
        <v> 610  </v>
      </c>
      <c r="X58" s="114" t="str">
        <f>Cable!Z54</f>
        <v> 530  </v>
      </c>
      <c r="Y58" s="114" t="str">
        <f>Cable!AA54</f>
        <v> 900  </v>
      </c>
      <c r="Z58" s="114" t="str">
        <f>Cable!AB54</f>
        <v> 47.00  </v>
      </c>
      <c r="AA58" s="114" t="str">
        <f>Cable!AC54</f>
        <v> 71.50  </v>
      </c>
    </row>
    <row r="59" spans="3:27" ht="11.25">
      <c r="C59" s="115" t="str">
        <f>Cable!C55</f>
        <v>1cX 630  </v>
      </c>
      <c r="D59" s="115">
        <f>Cable!D55</f>
        <v>0.0563</v>
      </c>
      <c r="E59" s="115">
        <f>Cable!E55</f>
        <v>0.086</v>
      </c>
      <c r="F59" s="115">
        <f>Cable!F55</f>
        <v>0.037</v>
      </c>
      <c r="G59" s="115">
        <f>Cable!G55</f>
        <v>0.086</v>
      </c>
      <c r="H59" s="115" t="str">
        <f>Cable!H55</f>
        <v> 390  </v>
      </c>
      <c r="I59" s="115" t="str">
        <f>Cable!I55</f>
        <v> 320  </v>
      </c>
      <c r="J59" s="115" t="str">
        <f>Cable!J55</f>
        <v> 550  </v>
      </c>
      <c r="K59" s="115" t="str">
        <f>Cable!K55</f>
        <v> 470  </v>
      </c>
      <c r="L59" s="115" t="str">
        <f>Cable!L55</f>
        <v> 375  </v>
      </c>
      <c r="M59" s="115" t="str">
        <f>Cable!M55</f>
        <v> 660  </v>
      </c>
      <c r="N59" s="115" t="str">
        <f>Cable!N55</f>
        <v> 47.90  </v>
      </c>
      <c r="O59" s="115" t="str">
        <f>Cable!O55</f>
        <v> 72.50  </v>
      </c>
      <c r="P59" s="114">
        <f>Cable!R55</f>
        <v>0.0648</v>
      </c>
      <c r="Q59" s="114">
        <f>Cable!S55</f>
        <v>0.075</v>
      </c>
      <c r="R59" s="114">
        <f>Cable!T55</f>
        <v>0.0362</v>
      </c>
      <c r="S59" s="114">
        <f>Cable!U55</f>
        <v>0.075</v>
      </c>
      <c r="T59" s="114" t="str">
        <f>Cable!V55</f>
        <v> 555  </v>
      </c>
      <c r="U59" s="114" t="str">
        <f>Cable!W55</f>
        <v> 485  </v>
      </c>
      <c r="V59" s="114" t="str">
        <f>Cable!X55</f>
        <v> 809  </v>
      </c>
      <c r="W59" s="114" t="str">
        <f>Cable!Y55</f>
        <v> 680  </v>
      </c>
      <c r="X59" s="114" t="str">
        <f>Cable!Z55</f>
        <v> 590  </v>
      </c>
      <c r="Y59" s="114" t="str">
        <f>Cable!AA55</f>
        <v> 1020  </v>
      </c>
      <c r="Z59" s="114" t="str">
        <f>Cable!AB55</f>
        <v> 59.22  </v>
      </c>
      <c r="AA59" s="114" t="str">
        <f>Cable!AC55</f>
        <v> 90.09  </v>
      </c>
    </row>
    <row r="60" spans="3:27" ht="11.25" customHeight="1">
      <c r="C60" s="115" t="str">
        <f>Cable!C56</f>
        <v>1cX800  </v>
      </c>
      <c r="D60" s="115">
        <f>Cable!D56</f>
        <v>0.044</v>
      </c>
      <c r="E60" s="115">
        <f>Cable!E56</f>
        <v>0.083</v>
      </c>
      <c r="F60" s="115">
        <f>Cable!F56</f>
        <v>0.031</v>
      </c>
      <c r="G60" s="115">
        <f>Cable!G56</f>
        <v>0.083</v>
      </c>
      <c r="H60" s="115" t="str">
        <f>Cable!H56</f>
        <v> 450  </v>
      </c>
      <c r="I60" s="115" t="str">
        <f>Cable!I56</f>
        <v> 380  </v>
      </c>
      <c r="J60" s="115" t="str">
        <f>Cable!J56</f>
        <v> 610  </v>
      </c>
      <c r="K60" s="115" t="str">
        <f>Cable!K56</f>
        <v> 530  </v>
      </c>
      <c r="L60" s="115" t="str">
        <f>Cable!L56</f>
        <v> 425  </v>
      </c>
      <c r="M60" s="115" t="str">
        <f>Cable!M56</f>
        <v> 725  </v>
      </c>
      <c r="N60" s="115" t="str">
        <f>Cable!N56</f>
        <v> 60.80  </v>
      </c>
      <c r="O60" s="115" t="str">
        <f>Cable!O56</f>
        <v> 92.00  </v>
      </c>
      <c r="P60" s="114">
        <f>Cable!R56</f>
        <v>0.053</v>
      </c>
      <c r="Q60" s="114">
        <f>Cable!S56</f>
        <v>0.075</v>
      </c>
      <c r="R60" s="114">
        <f>Cable!T56</f>
        <v>0.0283</v>
      </c>
      <c r="S60" s="114">
        <f>Cable!U56</f>
        <v>0.075</v>
      </c>
      <c r="T60" s="114" t="str">
        <f>Cable!V56</f>
        <v> 625  </v>
      </c>
      <c r="U60" s="114" t="str">
        <f>Cable!W56</f>
        <v> 530  </v>
      </c>
      <c r="V60" s="114" t="str">
        <f>Cable!X56</f>
        <v> 935  </v>
      </c>
      <c r="W60" s="114" t="str">
        <f>Cable!Y56</f>
        <v> 740  </v>
      </c>
      <c r="X60" s="114" t="str">
        <f>Cable!Z56</f>
        <v> 630  </v>
      </c>
      <c r="Y60" s="114" t="str">
        <f>Cable!AA56</f>
        <v> 1140  </v>
      </c>
      <c r="Z60" s="114" t="str">
        <f>Cable!AB56</f>
        <v> 75.20  </v>
      </c>
      <c r="AA60" s="114" t="str">
        <f>Cable!AC56</f>
        <v> 114.40  </v>
      </c>
    </row>
    <row r="61" spans="3:27" ht="11.25" customHeight="1">
      <c r="C61" s="115" t="str">
        <f>Cable!C57</f>
        <v>1cX1000  </v>
      </c>
      <c r="D61" s="115">
        <f>Cable!D57</f>
        <v>0.0349</v>
      </c>
      <c r="E61" s="115">
        <f>Cable!E57</f>
        <v>0.082</v>
      </c>
      <c r="F61" s="115">
        <f>Cable!F57</f>
        <v>0.027</v>
      </c>
      <c r="G61" s="115">
        <f>Cable!G57</f>
        <v>0.082</v>
      </c>
      <c r="H61" s="115" t="str">
        <f>Cable!H57</f>
        <v> 500  </v>
      </c>
      <c r="I61" s="115" t="str">
        <f>Cable!I57</f>
        <v> 415  </v>
      </c>
      <c r="J61" s="115" t="str">
        <f>Cable!J57</f>
        <v> 680  </v>
      </c>
      <c r="K61" s="115" t="str">
        <f>Cable!K57</f>
        <v> 590  </v>
      </c>
      <c r="L61" s="115" t="str">
        <f>Cable!L57</f>
        <v> 740  </v>
      </c>
      <c r="M61" s="115" t="str">
        <f>Cable!M57</f>
        <v> 870  </v>
      </c>
      <c r="N61" s="115" t="str">
        <f>Cable!N57</f>
        <v> 76.00  </v>
      </c>
      <c r="O61" s="115" t="str">
        <f>Cable!O57</f>
        <v> 115.00  </v>
      </c>
      <c r="P61" s="114">
        <f>Cable!R57</f>
        <v>0.0444</v>
      </c>
      <c r="Q61" s="114">
        <f>Cable!S57</f>
        <v>0.068</v>
      </c>
      <c r="R61" s="114">
        <f>Cable!T57</f>
        <v>0.0225</v>
      </c>
      <c r="S61" s="114">
        <f>Cable!U57</f>
        <v>0.068</v>
      </c>
      <c r="T61" s="114" t="str">
        <f>Cable!V57</f>
        <v> 690  </v>
      </c>
      <c r="U61" s="114" t="str">
        <f>Cable!W57</f>
        <v> 570  </v>
      </c>
      <c r="V61" s="114" t="str">
        <f>Cable!X57</f>
        <v> 1065  </v>
      </c>
      <c r="W61" s="114" t="str">
        <f>Cable!Y57</f>
        <v> 780  </v>
      </c>
      <c r="X61" s="114" t="str">
        <f>Cable!Z57</f>
        <v> 660  </v>
      </c>
      <c r="Y61" s="114" t="str">
        <f>Cable!AA57</f>
        <v> 1250  </v>
      </c>
      <c r="Z61" s="114" t="str">
        <f>Cable!AB57</f>
        <v> 94.00  </v>
      </c>
      <c r="AA61" s="114" t="str">
        <f>Cable!AC57</f>
        <v> 143.00  </v>
      </c>
    </row>
    <row r="62" spans="3:27" ht="11.25">
      <c r="C62" s="115" t="str">
        <f>Cable!C58</f>
        <v>2cX1.5</v>
      </c>
      <c r="D62" s="115">
        <f>Cable!D58</f>
        <v>21.72</v>
      </c>
      <c r="E62" s="115">
        <f>Cable!E58</f>
        <v>0.126</v>
      </c>
      <c r="F62" s="115">
        <f>Cable!F58</f>
        <v>14.5</v>
      </c>
      <c r="G62" s="115">
        <f>Cable!G58</f>
        <v>0.126</v>
      </c>
      <c r="H62" s="115">
        <f>Cable!H58</f>
        <v>18</v>
      </c>
      <c r="I62" s="115">
        <f>Cable!I58</f>
        <v>16</v>
      </c>
      <c r="J62" s="115">
        <f>Cable!J58</f>
        <v>16</v>
      </c>
      <c r="K62" s="115">
        <f>Cable!K58</f>
        <v>23</v>
      </c>
      <c r="L62" s="115">
        <f>Cable!L58</f>
        <v>20</v>
      </c>
      <c r="M62" s="115">
        <f>Cable!M58</f>
        <v>20</v>
      </c>
      <c r="N62" s="115">
        <f>Cable!N58</f>
        <v>0.3</v>
      </c>
      <c r="O62" s="115">
        <f>Cable!O58</f>
        <v>0.4</v>
      </c>
      <c r="P62" s="114" t="str">
        <f>Cable!R58</f>
        <v> —  </v>
      </c>
      <c r="Q62" s="114" t="str">
        <f>Cable!S58</f>
        <v> —  </v>
      </c>
      <c r="R62" s="114" t="str">
        <f>Cable!T58</f>
        <v> —  </v>
      </c>
      <c r="S62" s="114" t="str">
        <f>Cable!U58</f>
        <v> —  </v>
      </c>
      <c r="T62" s="114" t="str">
        <f>Cable!V58</f>
        <v> —  </v>
      </c>
      <c r="U62" s="114" t="str">
        <f>Cable!W58</f>
        <v> —  </v>
      </c>
      <c r="V62" s="114" t="str">
        <f>Cable!X58</f>
        <v> —  </v>
      </c>
      <c r="W62" s="114" t="str">
        <f>Cable!Y58</f>
        <v> —  </v>
      </c>
      <c r="X62" s="114" t="str">
        <f>Cable!Z58</f>
        <v> —  </v>
      </c>
      <c r="Y62" s="114" t="str">
        <f>Cable!AA58</f>
        <v> —  </v>
      </c>
      <c r="Z62" s="114" t="str">
        <f>Cable!AB58</f>
        <v> —  </v>
      </c>
      <c r="AA62" s="114" t="str">
        <f>Cable!AC58</f>
        <v> —  </v>
      </c>
    </row>
    <row r="63" spans="3:27" ht="11.25">
      <c r="C63" s="115" t="str">
        <f>Cable!C59</f>
        <v>2cX2.5</v>
      </c>
      <c r="D63" s="115">
        <f>Cable!D59</f>
        <v>14.52</v>
      </c>
      <c r="E63" s="115">
        <f>Cable!E59</f>
        <v>0.119</v>
      </c>
      <c r="F63" s="115">
        <f>Cable!F59</f>
        <v>8.87</v>
      </c>
      <c r="G63" s="115">
        <f>Cable!G59</f>
        <v>0.119</v>
      </c>
      <c r="H63" s="115">
        <f>Cable!H59</f>
        <v>16</v>
      </c>
      <c r="I63" s="115">
        <f>Cable!I59</f>
        <v>21</v>
      </c>
      <c r="J63" s="115">
        <f>Cable!J59</f>
        <v>21</v>
      </c>
      <c r="K63" s="115">
        <f>Cable!K59</f>
        <v>32</v>
      </c>
      <c r="L63" s="115">
        <f>Cable!L59</f>
        <v>27</v>
      </c>
      <c r="M63" s="115">
        <f>Cable!M59</f>
        <v>27</v>
      </c>
      <c r="N63" s="115">
        <f>Cable!N59</f>
        <v>0.3</v>
      </c>
      <c r="O63" s="115">
        <f>Cable!O59</f>
        <v>0.4</v>
      </c>
      <c r="P63" s="114" t="str">
        <f>Cable!R59</f>
        <v> —  </v>
      </c>
      <c r="Q63" s="114" t="str">
        <f>Cable!S59</f>
        <v> —  </v>
      </c>
      <c r="R63" s="114" t="str">
        <f>Cable!T59</f>
        <v> —  </v>
      </c>
      <c r="S63" s="114" t="str">
        <f>Cable!U59</f>
        <v> —  </v>
      </c>
      <c r="T63" s="114" t="str">
        <f>Cable!V59</f>
        <v> —  </v>
      </c>
      <c r="U63" s="114" t="str">
        <f>Cable!W59</f>
        <v> —  </v>
      </c>
      <c r="V63" s="114" t="str">
        <f>Cable!X59</f>
        <v> —  </v>
      </c>
      <c r="W63" s="114" t="str">
        <f>Cable!Y59</f>
        <v> —  </v>
      </c>
      <c r="X63" s="114" t="str">
        <f>Cable!Z59</f>
        <v> —  </v>
      </c>
      <c r="Y63" s="114" t="str">
        <f>Cable!AA59</f>
        <v> —  </v>
      </c>
      <c r="Z63" s="114" t="str">
        <f>Cable!AB59</f>
        <v> —  </v>
      </c>
      <c r="AA63" s="114" t="str">
        <f>Cable!AC59</f>
        <v> —  </v>
      </c>
    </row>
    <row r="64" spans="3:27" ht="11.25">
      <c r="C64" s="115" t="str">
        <f>Cable!C60</f>
        <v>2cX4</v>
      </c>
      <c r="D64" s="115">
        <f>Cable!D60</f>
        <v>8.89</v>
      </c>
      <c r="E64" s="115">
        <f>Cable!E60</f>
        <v>0.116</v>
      </c>
      <c r="F64" s="115">
        <f>Cable!F60</f>
        <v>5.52</v>
      </c>
      <c r="G64" s="115">
        <f>Cable!G60</f>
        <v>0.116</v>
      </c>
      <c r="H64" s="115" t="str">
        <f>Cable!H60</f>
        <v> 32  </v>
      </c>
      <c r="I64" s="115" t="str">
        <f>Cable!I60</f>
        <v> 27  </v>
      </c>
      <c r="J64" s="115" t="str">
        <f>Cable!J60</f>
        <v> 27  </v>
      </c>
      <c r="K64" s="115" t="str">
        <f>Cable!K60</f>
        <v> 41  </v>
      </c>
      <c r="L64" s="115" t="str">
        <f>Cable!L60</f>
        <v> 35  </v>
      </c>
      <c r="M64" s="115" t="str">
        <f>Cable!M60</f>
        <v> 35  </v>
      </c>
      <c r="N64" s="115" t="str">
        <f>Cable!N60</f>
        <v> 0.304  </v>
      </c>
      <c r="O64" s="115" t="str">
        <f>Cable!O60</f>
        <v> 0.460  </v>
      </c>
      <c r="P64" s="114">
        <f>Cable!R60</f>
        <v>1.555</v>
      </c>
      <c r="Q64" s="114">
        <f>Cable!S60</f>
        <v>0.097</v>
      </c>
      <c r="R64" s="114">
        <f>Cable!T60</f>
        <v>1.555</v>
      </c>
      <c r="S64" s="114">
        <f>Cable!U60</f>
        <v>0.097</v>
      </c>
      <c r="T64" s="114" t="str">
        <f>Cable!V60</f>
        <v> 34  </v>
      </c>
      <c r="U64" s="114" t="str">
        <f>Cable!W60</f>
        <v> 28  </v>
      </c>
      <c r="V64" s="114" t="str">
        <f>Cable!X60</f>
        <v> 30  </v>
      </c>
      <c r="W64" s="114" t="str">
        <f>Cable!Y60</f>
        <v> 44  </v>
      </c>
      <c r="X64" s="114" t="str">
        <f>Cable!Z60</f>
        <v> 37  </v>
      </c>
      <c r="Y64" s="114" t="str">
        <f>Cable!AA60</f>
        <v> 39  </v>
      </c>
      <c r="Z64" s="114" t="str">
        <f>Cable!AB60</f>
        <v> 0.376  </v>
      </c>
      <c r="AA64" s="114" t="str">
        <f>Cable!AC60</f>
        <v> 0.572  </v>
      </c>
    </row>
    <row r="65" spans="3:27" ht="11.25">
      <c r="C65" s="115" t="str">
        <f>Cable!C61</f>
        <v> 2cX 6  </v>
      </c>
      <c r="D65" s="115">
        <f>Cable!D61</f>
        <v>5.53</v>
      </c>
      <c r="E65" s="115">
        <f>Cable!E61</f>
        <v>0.11</v>
      </c>
      <c r="F65" s="115">
        <f>Cable!F61</f>
        <v>3.69</v>
      </c>
      <c r="G65" s="115">
        <f>Cable!G61</f>
        <v>0.11</v>
      </c>
      <c r="H65" s="115" t="str">
        <f>Cable!H61</f>
        <v> 40  </v>
      </c>
      <c r="I65" s="115" t="str">
        <f>Cable!I61</f>
        <v> 34  </v>
      </c>
      <c r="J65" s="115" t="str">
        <f>Cable!J61</f>
        <v> 35  </v>
      </c>
      <c r="K65" s="115" t="str">
        <f>Cable!K61</f>
        <v> 50  </v>
      </c>
      <c r="L65" s="115" t="str">
        <f>Cable!L61</f>
        <v> 44  </v>
      </c>
      <c r="M65" s="115" t="str">
        <f>Cable!M61</f>
        <v> 45  </v>
      </c>
      <c r="N65" s="115" t="str">
        <f>Cable!N61</f>
        <v> 0.456  </v>
      </c>
      <c r="O65" s="115" t="str">
        <f>Cable!O61</f>
        <v> 0.690  </v>
      </c>
      <c r="P65" s="114">
        <f>Cable!R61</f>
        <v>1.553</v>
      </c>
      <c r="Q65" s="114">
        <f>Cable!S61</f>
        <v>0.097</v>
      </c>
      <c r="R65" s="114">
        <f>Cable!T61</f>
        <v>1.553</v>
      </c>
      <c r="S65" s="114">
        <f>Cable!U61</f>
        <v>0.097</v>
      </c>
      <c r="T65" s="114" t="str">
        <f>Cable!V61</f>
        <v> 43  </v>
      </c>
      <c r="U65" s="114" t="str">
        <f>Cable!W61</f>
        <v> 37  </v>
      </c>
      <c r="V65" s="114" t="str">
        <f>Cable!X61</f>
        <v> 40  </v>
      </c>
      <c r="W65" s="114" t="str">
        <f>Cable!Y61</f>
        <v> 55  </v>
      </c>
      <c r="X65" s="114" t="str">
        <f>Cable!Z61</f>
        <v> 47  </v>
      </c>
      <c r="Y65" s="114" t="str">
        <f>Cable!AA61</f>
        <v> 50  </v>
      </c>
      <c r="Z65" s="114" t="str">
        <f>Cable!AB61</f>
        <v> 0.564  </v>
      </c>
      <c r="AA65" s="114" t="str">
        <f>Cable!AC61</f>
        <v> 0.858  </v>
      </c>
    </row>
    <row r="66" spans="3:27" ht="11.25">
      <c r="C66" s="115" t="str">
        <f>Cable!C62</f>
        <v>2cX10  </v>
      </c>
      <c r="D66" s="115">
        <f>Cable!D62</f>
        <v>3.7</v>
      </c>
      <c r="E66" s="115">
        <f>Cable!E62</f>
        <v>0.1</v>
      </c>
      <c r="F66" s="115">
        <f>Cable!F62</f>
        <v>2.19</v>
      </c>
      <c r="G66" s="115">
        <f>Cable!G62</f>
        <v>0.1</v>
      </c>
      <c r="H66" s="115" t="str">
        <f>Cable!H62</f>
        <v> 55  </v>
      </c>
      <c r="I66" s="115" t="str">
        <f>Cable!I62</f>
        <v> 45  </v>
      </c>
      <c r="J66" s="115" t="str">
        <f>Cable!J62</f>
        <v> 47  </v>
      </c>
      <c r="K66" s="115" t="str">
        <f>Cable!K62</f>
        <v> 70  </v>
      </c>
      <c r="L66" s="115" t="str">
        <f>Cable!L62</f>
        <v> 58  </v>
      </c>
      <c r="M66" s="115" t="str">
        <f>Cable!M62</f>
        <v> 60  </v>
      </c>
      <c r="N66" s="115" t="str">
        <f>Cable!N62</f>
        <v> 0.760  </v>
      </c>
      <c r="O66" s="115" t="str">
        <f>Cable!O62</f>
        <v> 1.150  </v>
      </c>
      <c r="P66" s="114">
        <f>Cable!R62</f>
        <v>1.553</v>
      </c>
      <c r="Q66" s="114">
        <f>Cable!S62</f>
        <v>0.085</v>
      </c>
      <c r="R66" s="114">
        <f>Cable!T62</f>
        <v>1.553</v>
      </c>
      <c r="S66" s="114">
        <f>Cable!U62</f>
        <v>0.085</v>
      </c>
      <c r="T66" s="114" t="str">
        <f>Cable!V62</f>
        <v> 57  </v>
      </c>
      <c r="U66" s="114" t="str">
        <f>Cable!W62</f>
        <v> 48  </v>
      </c>
      <c r="V66" s="114" t="str">
        <f>Cable!X62</f>
        <v> 53  </v>
      </c>
      <c r="W66" s="114" t="str">
        <f>Cable!Y62</f>
        <v> 74  </v>
      </c>
      <c r="X66" s="114" t="str">
        <f>Cable!Z62</f>
        <v> 61  </v>
      </c>
      <c r="Y66" s="114" t="str">
        <f>Cable!AA62</f>
        <v> 67  </v>
      </c>
      <c r="Z66" s="114" t="str">
        <f>Cable!AB62</f>
        <v> 0.940  </v>
      </c>
      <c r="AA66" s="114" t="str">
        <f>Cable!AC62</f>
        <v> 1.430  </v>
      </c>
    </row>
    <row r="67" spans="3:27" ht="11.25">
      <c r="C67" s="115" t="str">
        <f>Cable!C63</f>
        <v>2cX16  </v>
      </c>
      <c r="D67" s="115">
        <f>Cable!D63</f>
        <v>2.29</v>
      </c>
      <c r="E67" s="115">
        <f>Cable!E63</f>
        <v>0.097</v>
      </c>
      <c r="F67" s="115">
        <f>Cable!F63</f>
        <v>1.38</v>
      </c>
      <c r="G67" s="115">
        <f>Cable!G63</f>
        <v>0.097</v>
      </c>
      <c r="H67" s="115" t="str">
        <f>Cable!H63</f>
        <v> 70  </v>
      </c>
      <c r="I67" s="115" t="str">
        <f>Cable!I63</f>
        <v> 58  </v>
      </c>
      <c r="J67" s="115" t="str">
        <f>Cable!J63</f>
        <v> 59  </v>
      </c>
      <c r="K67" s="115" t="str">
        <f>Cable!K63</f>
        <v> 90  </v>
      </c>
      <c r="L67" s="115" t="str">
        <f>Cable!L63</f>
        <v> 75  </v>
      </c>
      <c r="M67" s="115" t="str">
        <f>Cable!M63</f>
        <v> 78  </v>
      </c>
      <c r="N67" s="115" t="str">
        <f>Cable!N63</f>
        <v> 1.220  </v>
      </c>
      <c r="O67" s="115" t="str">
        <f>Cable!O63</f>
        <v> 1.840  </v>
      </c>
      <c r="P67" s="114">
        <f>Cable!R63</f>
        <v>1.54</v>
      </c>
      <c r="Q67" s="114">
        <f>Cable!S63</f>
        <v>0.08</v>
      </c>
      <c r="R67" s="114">
        <f>Cable!T63</f>
        <v>1.54</v>
      </c>
      <c r="S67" s="114">
        <f>Cable!U63</f>
        <v>0.08</v>
      </c>
      <c r="T67" s="114" t="str">
        <f>Cable!V63</f>
        <v> 78  </v>
      </c>
      <c r="U67" s="114" t="str">
        <f>Cable!W63</f>
        <v> 61  </v>
      </c>
      <c r="V67" s="114" t="str">
        <f>Cable!X63</f>
        <v> 70  </v>
      </c>
      <c r="W67" s="114" t="str">
        <f>Cable!Y63</f>
        <v> 94  </v>
      </c>
      <c r="X67" s="114" t="str">
        <f>Cable!Z63</f>
        <v> 78  </v>
      </c>
      <c r="Y67" s="114" t="str">
        <f>Cable!AA63</f>
        <v> 85  </v>
      </c>
      <c r="Z67" s="114" t="str">
        <f>Cable!AB63</f>
        <v> 1.50  </v>
      </c>
      <c r="AA67" s="114" t="str">
        <f>Cable!AC63</f>
        <v> 2.29  </v>
      </c>
    </row>
    <row r="68" spans="3:27" ht="11.25">
      <c r="C68" s="115" t="str">
        <f>Cable!C64</f>
        <v>2cX25  </v>
      </c>
      <c r="D68" s="115">
        <f>Cable!D64</f>
        <v>1.44</v>
      </c>
      <c r="E68" s="115">
        <f>Cable!E64</f>
        <v>0.097</v>
      </c>
      <c r="F68" s="115">
        <f>Cable!F64</f>
        <v>0.87</v>
      </c>
      <c r="G68" s="115">
        <f>Cable!G64</f>
        <v>0.097</v>
      </c>
      <c r="H68" s="115" t="str">
        <f>Cable!H64</f>
        <v> 90  </v>
      </c>
      <c r="I68" s="115" t="str">
        <f>Cable!I64</f>
        <v> 76  </v>
      </c>
      <c r="J68" s="115" t="str">
        <f>Cable!J64</f>
        <v> 78  </v>
      </c>
      <c r="K68" s="115" t="str">
        <f>Cable!K64</f>
        <v> 115  </v>
      </c>
      <c r="L68" s="115" t="str">
        <f>Cable!L64</f>
        <v> 97  </v>
      </c>
      <c r="M68" s="115" t="str">
        <f>Cable!M64</f>
        <v> 105  </v>
      </c>
      <c r="N68" s="115" t="str">
        <f>Cable!N64</f>
        <v> 1.900  </v>
      </c>
      <c r="O68" s="115" t="str">
        <f>Cable!O64</f>
        <v> 2.880  </v>
      </c>
      <c r="P68" s="114">
        <f>Cable!R64</f>
        <v>1.54</v>
      </c>
      <c r="Q68" s="114">
        <f>Cable!S64</f>
        <v>0.08</v>
      </c>
      <c r="R68" s="114">
        <f>Cable!T64</f>
        <v>0.93</v>
      </c>
      <c r="S68" s="114">
        <f>Cable!U64</f>
        <v>0.08</v>
      </c>
      <c r="T68" s="114" t="str">
        <f>Cable!V64</f>
        <v> 95  </v>
      </c>
      <c r="U68" s="114" t="str">
        <f>Cable!W64</f>
        <v> 80  </v>
      </c>
      <c r="V68" s="114" t="str">
        <f>Cable!X64</f>
        <v> 99  </v>
      </c>
      <c r="W68" s="114" t="str">
        <f>Cable!Y64</f>
        <v> 120  </v>
      </c>
      <c r="X68" s="114" t="str">
        <f>Cable!Z64</f>
        <v> 100  </v>
      </c>
      <c r="Y68" s="114" t="str">
        <f>Cable!AA64</f>
        <v> 125  </v>
      </c>
      <c r="Z68" s="114" t="str">
        <f>Cable!AB64</f>
        <v> 2.35  </v>
      </c>
      <c r="AA68" s="114" t="str">
        <f>Cable!AC64</f>
        <v> 3.58  </v>
      </c>
    </row>
    <row r="69" spans="3:27" ht="11.25">
      <c r="C69" s="115" t="str">
        <f>Cable!C65</f>
        <v>2cX35  </v>
      </c>
      <c r="D69" s="115">
        <f>Cable!D65</f>
        <v>1.04</v>
      </c>
      <c r="E69" s="115">
        <f>Cable!E65</f>
        <v>0.097</v>
      </c>
      <c r="F69" s="115">
        <f>Cable!F65</f>
        <v>0.627</v>
      </c>
      <c r="G69" s="115">
        <f>Cable!G65</f>
        <v>0.097</v>
      </c>
      <c r="H69" s="115" t="str">
        <f>Cable!H65</f>
        <v> 110  </v>
      </c>
      <c r="I69" s="115" t="str">
        <f>Cable!I65</f>
        <v> 92  </v>
      </c>
      <c r="J69" s="115" t="str">
        <f>Cable!J65</f>
        <v> 99  </v>
      </c>
      <c r="K69" s="115" t="str">
        <f>Cable!K65</f>
        <v> 140  </v>
      </c>
      <c r="L69" s="115" t="str">
        <f>Cable!L65</f>
        <v> 120  </v>
      </c>
      <c r="M69" s="115" t="str">
        <f>Cable!M65</f>
        <v> 125  </v>
      </c>
      <c r="N69" s="115" t="str">
        <f>Cable!N65</f>
        <v> 2.660  </v>
      </c>
      <c r="O69" s="115" t="str">
        <f>Cable!O65</f>
        <v> 4.030  </v>
      </c>
      <c r="P69" s="114">
        <f>Cable!R65</f>
        <v>1.11</v>
      </c>
      <c r="Q69" s="114">
        <f>Cable!S65</f>
        <v>0.08</v>
      </c>
      <c r="R69" s="114">
        <f>Cable!T65</f>
        <v>0.671</v>
      </c>
      <c r="S69" s="114">
        <f>Cable!U65</f>
        <v>0.08</v>
      </c>
      <c r="T69" s="114" t="str">
        <f>Cable!V65</f>
        <v> 116  </v>
      </c>
      <c r="U69" s="114" t="str">
        <f>Cable!W65</f>
        <v> 94  </v>
      </c>
      <c r="V69" s="114" t="str">
        <f>Cable!X65</f>
        <v> 117  </v>
      </c>
      <c r="W69" s="114" t="str">
        <f>Cable!Y65</f>
        <v> 145  </v>
      </c>
      <c r="X69" s="114" t="str">
        <f>Cable!Z65</f>
        <v> 120  </v>
      </c>
      <c r="Y69" s="114" t="str">
        <f>Cable!AA65</f>
        <v> 155  </v>
      </c>
      <c r="Z69" s="114" t="str">
        <f>Cable!AB65</f>
        <v> 3.29  </v>
      </c>
      <c r="AA69" s="114" t="str">
        <f>Cable!AC65</f>
        <v> 5.01  </v>
      </c>
    </row>
    <row r="70" spans="3:27" ht="11.25">
      <c r="C70" s="115" t="str">
        <f>Cable!C66</f>
        <v>2cX50  </v>
      </c>
      <c r="D70" s="115">
        <f>Cable!D66</f>
        <v>0.77</v>
      </c>
      <c r="E70" s="115">
        <f>Cable!E66</f>
        <v>0.094</v>
      </c>
      <c r="F70" s="115">
        <f>Cable!F66</f>
        <v>0.463</v>
      </c>
      <c r="G70" s="115">
        <f>Cable!G66</f>
        <v>0.094</v>
      </c>
      <c r="H70" s="115" t="str">
        <f>Cable!H66</f>
        <v> 135  </v>
      </c>
      <c r="I70" s="115" t="str">
        <f>Cable!I66</f>
        <v> 115  </v>
      </c>
      <c r="J70" s="115" t="str">
        <f>Cable!J66</f>
        <v> 125  </v>
      </c>
      <c r="K70" s="115" t="str">
        <f>Cable!K66</f>
        <v> 165  </v>
      </c>
      <c r="L70" s="115" t="str">
        <f>Cable!L66</f>
        <v> 145  </v>
      </c>
      <c r="M70" s="115" t="str">
        <f>Cable!M66</f>
        <v> 155  </v>
      </c>
      <c r="N70" s="115" t="str">
        <f>Cable!N66</f>
        <v> 3.800  </v>
      </c>
      <c r="O70" s="115" t="str">
        <f>Cable!O66</f>
        <v> 5.750  </v>
      </c>
      <c r="P70" s="114">
        <f>Cable!R66</f>
        <v>0.082</v>
      </c>
      <c r="Q70" s="114">
        <f>Cable!S66</f>
        <v>0.078</v>
      </c>
      <c r="R70" s="114">
        <f>Cable!T66</f>
        <v>0.495</v>
      </c>
      <c r="S70" s="114">
        <f>Cable!U66</f>
        <v>0.078</v>
      </c>
      <c r="T70" s="114" t="str">
        <f>Cable!V66</f>
        <v> 140  </v>
      </c>
      <c r="U70" s="114" t="str">
        <f>Cable!W66</f>
        <v> 110  </v>
      </c>
      <c r="V70" s="114" t="str">
        <f>Cable!X66</f>
        <v> 140  </v>
      </c>
      <c r="W70" s="114" t="str">
        <f>Cable!Y66</f>
        <v> 170  </v>
      </c>
      <c r="X70" s="114" t="str">
        <f>Cable!Z66</f>
        <v> 145  </v>
      </c>
      <c r="Y70" s="114" t="str">
        <f>Cable!AA66</f>
        <v> 190  </v>
      </c>
      <c r="Z70" s="114" t="str">
        <f>Cable!AB66</f>
        <v> 4.70  </v>
      </c>
      <c r="AA70" s="114" t="str">
        <f>Cable!AC66</f>
        <v> 7.15  </v>
      </c>
    </row>
    <row r="71" spans="3:27" ht="11.25">
      <c r="C71" s="115" t="str">
        <f>Cable!C67</f>
        <v>2cX70  </v>
      </c>
      <c r="D71" s="115">
        <f>Cable!D67</f>
        <v>0.53</v>
      </c>
      <c r="E71" s="115">
        <f>Cable!E67</f>
        <v>0.09</v>
      </c>
      <c r="F71" s="115">
        <f>Cable!F67</f>
        <v>0.321</v>
      </c>
      <c r="G71" s="115">
        <f>Cable!G67</f>
        <v>0.09</v>
      </c>
      <c r="H71" s="115" t="str">
        <f>Cable!H67</f>
        <v> 160  </v>
      </c>
      <c r="I71" s="115" t="str">
        <f>Cable!I67</f>
        <v> 140  </v>
      </c>
      <c r="J71" s="115" t="str">
        <f>Cable!J67</f>
        <v> 150  </v>
      </c>
      <c r="K71" s="115" t="str">
        <f>Cable!K67</f>
        <v> 205  </v>
      </c>
      <c r="L71" s="115" t="str">
        <f>Cable!L67</f>
        <v> 180  </v>
      </c>
      <c r="M71" s="115" t="str">
        <f>Cable!M67</f>
        <v> 195  </v>
      </c>
      <c r="N71" s="115" t="str">
        <f>Cable!N67</f>
        <v> 5.320  </v>
      </c>
      <c r="O71" s="115" t="str">
        <f>Cable!O67</f>
        <v> 8.050  </v>
      </c>
      <c r="P71" s="114">
        <f>Cable!R67</f>
        <v>0.57</v>
      </c>
      <c r="Q71" s="114">
        <f>Cable!S67</f>
        <v>0.077</v>
      </c>
      <c r="R71" s="114">
        <f>Cable!T67</f>
        <v>0.343</v>
      </c>
      <c r="S71" s="114">
        <f>Cable!U67</f>
        <v>0.077</v>
      </c>
      <c r="T71" s="114" t="str">
        <f>Cable!V67</f>
        <v> 170  </v>
      </c>
      <c r="U71" s="114" t="str">
        <f>Cable!W67</f>
        <v> 140  </v>
      </c>
      <c r="V71" s="114" t="str">
        <f>Cable!X67</f>
        <v> 176  </v>
      </c>
      <c r="W71" s="114" t="str">
        <f>Cable!Y67</f>
        <v> 210  </v>
      </c>
      <c r="X71" s="114" t="str">
        <f>Cable!Z67</f>
        <v> 175  </v>
      </c>
      <c r="Y71" s="114" t="str">
        <f>Cable!AA67</f>
        <v> 235  </v>
      </c>
      <c r="Z71" s="114" t="str">
        <f>Cable!AB67</f>
        <v> 6.58  </v>
      </c>
      <c r="AA71" s="114" t="str">
        <f>Cable!AC67</f>
        <v> 10.01  </v>
      </c>
    </row>
    <row r="72" spans="3:27" ht="11.25">
      <c r="C72" s="115" t="str">
        <f>Cable!C68</f>
        <v>2cX95  </v>
      </c>
      <c r="D72" s="115">
        <f>Cable!D68</f>
        <v>0.38</v>
      </c>
      <c r="E72" s="115">
        <f>Cable!E68</f>
        <v>0.09</v>
      </c>
      <c r="F72" s="115">
        <f>Cable!F68</f>
        <v>0.231</v>
      </c>
      <c r="G72" s="115">
        <f>Cable!G68</f>
        <v>0.9</v>
      </c>
      <c r="H72" s="115" t="str">
        <f>Cable!H68</f>
        <v> 190  </v>
      </c>
      <c r="I72" s="115" t="str">
        <f>Cable!I68</f>
        <v> 170  </v>
      </c>
      <c r="J72" s="115" t="str">
        <f>Cable!J68</f>
        <v> 185  </v>
      </c>
      <c r="K72" s="115" t="str">
        <f>Cable!K68</f>
        <v> 240  </v>
      </c>
      <c r="L72" s="115" t="str">
        <f>Cable!L68</f>
        <v> 215  </v>
      </c>
      <c r="M72" s="115" t="str">
        <f>Cable!M68</f>
        <v> 230  </v>
      </c>
      <c r="N72" s="115" t="str">
        <f>Cable!N68</f>
        <v> 7.220  </v>
      </c>
      <c r="O72" s="115" t="str">
        <f>Cable!O68</f>
        <v> 10.90  </v>
      </c>
      <c r="P72" s="114">
        <f>Cable!R68</f>
        <v>0.41</v>
      </c>
      <c r="Q72" s="114">
        <f>Cable!S68</f>
        <v>0.074</v>
      </c>
      <c r="R72" s="114">
        <f>Cable!T68</f>
        <v>0.247</v>
      </c>
      <c r="S72" s="114">
        <f>Cable!U68</f>
        <v>0.074</v>
      </c>
      <c r="T72" s="114" t="str">
        <f>Cable!V68</f>
        <v> 200  </v>
      </c>
      <c r="U72" s="114" t="str">
        <f>Cable!W68</f>
        <v> 165  </v>
      </c>
      <c r="V72" s="114" t="str">
        <f>Cable!X68</f>
        <v> 221  </v>
      </c>
      <c r="W72" s="114" t="str">
        <f>Cable!Y68</f>
        <v> 250  </v>
      </c>
      <c r="X72" s="114" t="str">
        <f>Cable!Z68</f>
        <v> 210  </v>
      </c>
      <c r="Y72" s="114" t="str">
        <f>Cable!AA68</f>
        <v> 290  </v>
      </c>
      <c r="Z72" s="114" t="str">
        <f>Cable!AB68</f>
        <v> 8.93  </v>
      </c>
      <c r="AA72" s="114" t="str">
        <f>Cable!AC68</f>
        <v> 13.59  </v>
      </c>
    </row>
    <row r="73" spans="3:27" ht="11.25">
      <c r="C73" s="115" t="str">
        <f>Cable!C69</f>
        <v>2cX120  </v>
      </c>
      <c r="D73" s="115">
        <f>Cable!D69</f>
        <v>0.3</v>
      </c>
      <c r="E73" s="115">
        <f>Cable!E69</f>
        <v>0.087</v>
      </c>
      <c r="F73" s="115">
        <f>Cable!F69</f>
        <v>0.184</v>
      </c>
      <c r="G73" s="115">
        <f>Cable!G69</f>
        <v>0.087</v>
      </c>
      <c r="H73" s="115" t="str">
        <f>Cable!H69</f>
        <v> 210  </v>
      </c>
      <c r="I73" s="115" t="str">
        <f>Cable!I69</f>
        <v> 190  </v>
      </c>
      <c r="J73" s="115" t="str">
        <f>Cable!J69</f>
        <v> 210  </v>
      </c>
      <c r="K73" s="115" t="str">
        <f>Cable!K69</f>
        <v> 275  </v>
      </c>
      <c r="L73" s="115" t="str">
        <f>Cable!L69</f>
        <v> 235  </v>
      </c>
      <c r="M73" s="115" t="str">
        <f>Cable!M69</f>
        <v> 265  </v>
      </c>
      <c r="N73" s="115" t="str">
        <f>Cable!N69</f>
        <v> 9.120  </v>
      </c>
      <c r="O73" s="115" t="str">
        <f>Cable!O69</f>
        <v> 13.80  </v>
      </c>
      <c r="P73" s="114">
        <f>Cable!R69</f>
        <v>0.33</v>
      </c>
      <c r="Q73" s="114">
        <f>Cable!S69</f>
        <v>0.072</v>
      </c>
      <c r="R73" s="114">
        <f>Cable!T69</f>
        <v>0.196</v>
      </c>
      <c r="S73" s="114">
        <f>Cable!U69</f>
        <v>0.072</v>
      </c>
      <c r="T73" s="114" t="str">
        <f>Cable!V69</f>
        <v> 225  </v>
      </c>
      <c r="U73" s="114" t="str">
        <f>Cable!W69</f>
        <v> 185  </v>
      </c>
      <c r="V73" s="114" t="str">
        <f>Cable!X69</f>
        <v> 258  </v>
      </c>
      <c r="W73" s="114" t="str">
        <f>Cable!Y69</f>
        <v> 285  </v>
      </c>
      <c r="X73" s="114" t="str">
        <f>Cable!Z69</f>
        <v> 240  </v>
      </c>
      <c r="Y73" s="114" t="str">
        <f>Cable!AA69</f>
        <v> 330  </v>
      </c>
      <c r="Z73" s="114" t="str">
        <f>Cable!AB69</f>
        <v> 11.28  </v>
      </c>
      <c r="AA73" s="114" t="str">
        <f>Cable!AC69</f>
        <v> 17.16  </v>
      </c>
    </row>
    <row r="74" spans="3:27" ht="11.25">
      <c r="C74" s="115" t="str">
        <f>Cable!C70</f>
        <v>2cX150  </v>
      </c>
      <c r="D74" s="115">
        <f>Cable!D70</f>
        <v>0.25</v>
      </c>
      <c r="E74" s="115">
        <f>Cable!E70</f>
        <v>0.087</v>
      </c>
      <c r="F74" s="115">
        <f>Cable!F70</f>
        <v>0.149</v>
      </c>
      <c r="G74" s="115">
        <f>Cable!G70</f>
        <v>0.087</v>
      </c>
      <c r="H74" s="115" t="str">
        <f>Cable!H70</f>
        <v> 240  </v>
      </c>
      <c r="I74" s="115" t="str">
        <f>Cable!I70</f>
        <v> 210  </v>
      </c>
      <c r="J74" s="115" t="str">
        <f>Cable!J70</f>
        <v> 240  </v>
      </c>
      <c r="K74" s="115" t="str">
        <f>Cable!K70</f>
        <v> 310  </v>
      </c>
      <c r="L74" s="115" t="str">
        <f>Cable!L70</f>
        <v> 270  </v>
      </c>
      <c r="M74" s="115" t="str">
        <f>Cable!M70</f>
        <v> 305  </v>
      </c>
      <c r="N74" s="115" t="str">
        <f>Cable!N70</f>
        <v> 11.40  </v>
      </c>
      <c r="O74" s="115" t="str">
        <f>Cable!O70</f>
        <v> 17.300  </v>
      </c>
      <c r="P74" s="114">
        <f>Cable!R70</f>
        <v>0.27</v>
      </c>
      <c r="Q74" s="114">
        <f>Cable!S70</f>
        <v>0.072</v>
      </c>
      <c r="R74" s="114">
        <f>Cable!T70</f>
        <v>0.159</v>
      </c>
      <c r="S74" s="114">
        <f>Cable!U70</f>
        <v>0.072</v>
      </c>
      <c r="T74" s="114" t="str">
        <f>Cable!V70</f>
        <v> 255  </v>
      </c>
      <c r="U74" s="114" t="str">
        <f>Cable!W70</f>
        <v> 210  </v>
      </c>
      <c r="V74" s="114" t="str">
        <f>Cable!X70</f>
        <v> 294  </v>
      </c>
      <c r="W74" s="114" t="str">
        <f>Cable!Y70</f>
        <v> 315  </v>
      </c>
      <c r="X74" s="114" t="str">
        <f>Cable!Z70</f>
        <v> 270  </v>
      </c>
      <c r="Y74" s="114" t="str">
        <f>Cable!AA70</f>
        <v> 375  </v>
      </c>
      <c r="Z74" s="114" t="str">
        <f>Cable!AB70</f>
        <v> 14.10  </v>
      </c>
      <c r="AA74" s="114" t="str">
        <f>Cable!AC70</f>
        <v> 21.45  </v>
      </c>
    </row>
    <row r="75" spans="3:27" ht="11.25">
      <c r="C75" s="115" t="str">
        <f>Cable!C71</f>
        <v>2cX185  </v>
      </c>
      <c r="D75" s="115">
        <f>Cable!D71</f>
        <v>0.2</v>
      </c>
      <c r="E75" s="115">
        <f>Cable!E71</f>
        <v>0.087</v>
      </c>
      <c r="F75" s="115">
        <f>Cable!F71</f>
        <v>0.12</v>
      </c>
      <c r="G75" s="115">
        <f>Cable!G71</f>
        <v>0.087</v>
      </c>
      <c r="H75" s="115" t="str">
        <f>Cable!H71</f>
        <v> 275  </v>
      </c>
      <c r="I75" s="115" t="str">
        <f>Cable!I71</f>
        <v> 240  </v>
      </c>
      <c r="J75" s="115" t="str">
        <f>Cable!J71</f>
        <v> 275  </v>
      </c>
      <c r="K75" s="115" t="str">
        <f>Cable!K71</f>
        <v> 350  </v>
      </c>
      <c r="L75" s="115" t="str">
        <f>Cable!L71</f>
        <v> 300  </v>
      </c>
      <c r="M75" s="115" t="str">
        <f>Cable!M71</f>
        <v> 350  </v>
      </c>
      <c r="N75" s="115" t="str">
        <f>Cable!N71</f>
        <v> 14.10  </v>
      </c>
      <c r="O75" s="115" t="str">
        <f>Cable!O71</f>
        <v> 21.280  </v>
      </c>
      <c r="P75" s="114">
        <f>Cable!R71</f>
        <v>0.21</v>
      </c>
      <c r="Q75" s="114">
        <f>Cable!S71</f>
        <v>0.072</v>
      </c>
      <c r="R75" s="114">
        <f>Cable!T71</f>
        <v>0.127</v>
      </c>
      <c r="S75" s="114">
        <f>Cable!U71</f>
        <v>0.072</v>
      </c>
      <c r="T75" s="114" t="str">
        <f>Cable!V71</f>
        <v> 285  </v>
      </c>
      <c r="U75" s="114" t="str">
        <f>Cable!W71</f>
        <v> 235  </v>
      </c>
      <c r="V75" s="114" t="str">
        <f>Cable!X71</f>
        <v> 339  </v>
      </c>
      <c r="W75" s="114" t="str">
        <f>Cable!Y71</f>
        <v> 355  </v>
      </c>
      <c r="X75" s="114" t="str">
        <f>Cable!Z71</f>
        <v> 300  </v>
      </c>
      <c r="Y75" s="114" t="str">
        <f>Cable!AA71</f>
        <v> 435  </v>
      </c>
      <c r="Z75" s="114" t="str">
        <f>Cable!AB71</f>
        <v> 17.39  </v>
      </c>
      <c r="AA75" s="114" t="str">
        <f>Cable!AC71</f>
        <v> 26.46  </v>
      </c>
    </row>
    <row r="76" spans="3:27" ht="11.25">
      <c r="C76" s="115" t="str">
        <f>Cable!C72</f>
        <v>2cX240  </v>
      </c>
      <c r="D76" s="115">
        <f>Cable!D72</f>
        <v>0.15</v>
      </c>
      <c r="E76" s="115">
        <f>Cable!E72</f>
        <v>0.087</v>
      </c>
      <c r="F76" s="115">
        <f>Cable!F72</f>
        <v>0.091</v>
      </c>
      <c r="G76" s="115">
        <f>Cable!G72</f>
        <v>0.087</v>
      </c>
      <c r="H76" s="115" t="str">
        <f>Cable!H72</f>
        <v> 320  </v>
      </c>
      <c r="I76" s="115" t="str">
        <f>Cable!I72</f>
        <v> 275  </v>
      </c>
      <c r="J76" s="115" t="str">
        <f>Cable!J72</f>
        <v> 325  </v>
      </c>
      <c r="K76" s="115" t="str">
        <f>Cable!K72</f>
        <v> 405  </v>
      </c>
      <c r="L76" s="115" t="str">
        <f>Cable!L72</f>
        <v> 345  </v>
      </c>
      <c r="M76" s="115" t="str">
        <f>Cable!M72</f>
        <v> 410  </v>
      </c>
      <c r="N76" s="115" t="str">
        <f>Cable!N72</f>
        <v> 18.20  </v>
      </c>
      <c r="O76" s="115" t="str">
        <f>Cable!O72</f>
        <v> 27.600  </v>
      </c>
      <c r="P76" s="114">
        <f>Cable!R72</f>
        <v>0.16</v>
      </c>
      <c r="Q76" s="114">
        <f>Cable!S72</f>
        <v>0.072</v>
      </c>
      <c r="R76" s="114">
        <f>Cable!T72</f>
        <v>0.0965</v>
      </c>
      <c r="S76" s="114">
        <f>Cable!U72</f>
        <v>0.072</v>
      </c>
      <c r="T76" s="114" t="str">
        <f>Cable!V72</f>
        <v> 325  </v>
      </c>
      <c r="U76" s="114" t="str">
        <f>Cable!W72</f>
        <v> 270  </v>
      </c>
      <c r="V76" s="114" t="str">
        <f>Cable!X72</f>
        <v> 402  </v>
      </c>
      <c r="W76" s="114" t="str">
        <f>Cable!Y72</f>
        <v> 410  </v>
      </c>
      <c r="X76" s="114" t="str">
        <f>Cable!Z72</f>
        <v> 350  </v>
      </c>
      <c r="Y76" s="114" t="str">
        <f>Cable!AA72</f>
        <v> 510  </v>
      </c>
      <c r="Z76" s="114" t="str">
        <f>Cable!AB72</f>
        <v> 22.56  </v>
      </c>
      <c r="AA76" s="114" t="str">
        <f>Cable!AC72</f>
        <v> 34.32  </v>
      </c>
    </row>
    <row r="77" spans="3:27" ht="11.25">
      <c r="C77" s="115" t="str">
        <f>Cable!C73</f>
        <v>2cX300  </v>
      </c>
      <c r="D77" s="115">
        <f>Cable!D73</f>
        <v>0.12</v>
      </c>
      <c r="E77" s="115">
        <f>Cable!E73</f>
        <v>0.086</v>
      </c>
      <c r="F77" s="115">
        <f>Cable!F73</f>
        <v>0.073</v>
      </c>
      <c r="G77" s="115">
        <f>Cable!G73</f>
        <v>0.086</v>
      </c>
      <c r="H77" s="115" t="str">
        <f>Cable!H73</f>
        <v> 355  </v>
      </c>
      <c r="I77" s="115" t="str">
        <f>Cable!I73</f>
        <v> 305  </v>
      </c>
      <c r="J77" s="115" t="str">
        <f>Cable!J73</f>
        <v> 365  </v>
      </c>
      <c r="K77" s="115" t="str">
        <f>Cable!K73</f>
        <v> 450  </v>
      </c>
      <c r="L77" s="115" t="str">
        <f>Cable!L73</f>
        <v> 385  </v>
      </c>
      <c r="M77" s="115" t="str">
        <f>Cable!M73</f>
        <v> 465  </v>
      </c>
      <c r="N77" s="115" t="str">
        <f>Cable!N73</f>
        <v> 22.80  </v>
      </c>
      <c r="O77" s="115" t="str">
        <f>Cable!O73</f>
        <v> 34.500  </v>
      </c>
      <c r="P77" s="114">
        <f>Cable!R73</f>
        <v>0.13</v>
      </c>
      <c r="Q77" s="114">
        <f>Cable!S73</f>
        <v>0.071</v>
      </c>
      <c r="R77" s="114">
        <f>Cable!T73</f>
        <v>0.0769</v>
      </c>
      <c r="S77" s="114">
        <f>Cable!U73</f>
        <v>0.071</v>
      </c>
      <c r="T77" s="114" t="str">
        <f>Cable!V73</f>
        <v> 370  </v>
      </c>
      <c r="U77" s="114" t="str">
        <f>Cable!W73</f>
        <v> 305  </v>
      </c>
      <c r="V77" s="114" t="str">
        <f>Cable!X73</f>
        <v> 461  </v>
      </c>
      <c r="W77" s="114" t="str">
        <f>Cable!Y73</f>
        <v> 460  </v>
      </c>
      <c r="X77" s="114" t="str">
        <f>Cable!Z73</f>
        <v> 390  </v>
      </c>
      <c r="Y77" s="114" t="str">
        <f>Cable!AA73</f>
        <v> 590  </v>
      </c>
      <c r="Z77" s="114" t="str">
        <f>Cable!AB73</f>
        <v> 28.20  </v>
      </c>
      <c r="AA77" s="114" t="str">
        <f>Cable!AC73</f>
        <v> 42.90  </v>
      </c>
    </row>
    <row r="78" spans="3:27" ht="11.25">
      <c r="C78" s="115" t="str">
        <f>Cable!C74</f>
        <v>2cX400  </v>
      </c>
      <c r="D78" s="115">
        <f>Cable!D74</f>
        <v>0.09</v>
      </c>
      <c r="E78" s="115">
        <f>Cable!E74</f>
        <v>0.086</v>
      </c>
      <c r="F78" s="115">
        <f>Cable!F74</f>
        <v>0.059</v>
      </c>
      <c r="G78" s="115">
        <f>Cable!G74</f>
        <v>0.086</v>
      </c>
      <c r="H78" s="115" t="str">
        <f>Cable!H74</f>
        <v> 385  </v>
      </c>
      <c r="I78" s="115" t="str">
        <f>Cable!I74</f>
        <v> 345  </v>
      </c>
      <c r="J78" s="115" t="str">
        <f>Cable!J74</f>
        <v> 420  </v>
      </c>
      <c r="K78" s="115" t="str">
        <f>Cable!K74</f>
        <v> 490  </v>
      </c>
      <c r="L78" s="115" t="str">
        <f>Cable!L74</f>
        <v> 485  </v>
      </c>
      <c r="M78" s="115" t="str">
        <f>Cable!M74</f>
        <v> 530  </v>
      </c>
      <c r="N78" s="115" t="str">
        <f>Cable!N74</f>
        <v> 30.40  </v>
      </c>
      <c r="O78" s="115" t="str">
        <f>Cable!O74</f>
        <v> 46.000  </v>
      </c>
      <c r="P78" s="114">
        <f>Cable!R74</f>
        <v>0.1</v>
      </c>
      <c r="Q78" s="114">
        <f>Cable!S74</f>
        <v>0.07</v>
      </c>
      <c r="R78" s="114">
        <f>Cable!T74</f>
        <v>0.0602</v>
      </c>
      <c r="S78" s="114">
        <f>Cable!U74</f>
        <v>0.07</v>
      </c>
      <c r="T78" s="114" t="str">
        <f>Cable!V74</f>
        <v> 435  </v>
      </c>
      <c r="U78" s="114" t="str">
        <f>Cable!W74</f>
        <v> 350  </v>
      </c>
      <c r="V78" s="114" t="str">
        <f>Cable!X74</f>
        <v> 542  </v>
      </c>
      <c r="W78" s="114" t="str">
        <f>Cable!Y74</f>
        <v> 520  </v>
      </c>
      <c r="X78" s="114" t="str">
        <f>Cable!Z74</f>
        <v> 440  </v>
      </c>
      <c r="Y78" s="114" t="str">
        <f>Cable!AA74</f>
        <v> 670  </v>
      </c>
      <c r="Z78" s="114" t="str">
        <f>Cable!AB74</f>
        <v> 37.60  </v>
      </c>
      <c r="AA78" s="114" t="str">
        <f>Cable!AC74</f>
        <v> 57.20  </v>
      </c>
    </row>
    <row r="79" spans="3:27" ht="11.25">
      <c r="C79" s="115" t="str">
        <f>Cable!C75</f>
        <v>2cX500  </v>
      </c>
      <c r="D79" s="115">
        <f>Cable!D75</f>
        <v>0.09</v>
      </c>
      <c r="E79" s="115">
        <f>Cable!E75</f>
        <v>0.086</v>
      </c>
      <c r="F79" s="115">
        <f>Cable!F75</f>
        <v>0.059</v>
      </c>
      <c r="G79" s="115">
        <f>Cable!G75</f>
        <v>0.086</v>
      </c>
      <c r="H79" s="115" t="str">
        <f>Cable!H75</f>
        <v> 425  </v>
      </c>
      <c r="I79" s="115" t="str">
        <f>Cable!I75</f>
        <v> 380  </v>
      </c>
      <c r="J79" s="115" t="str">
        <f>Cable!J75</f>
        <v> 475  </v>
      </c>
      <c r="K79" s="115" t="str">
        <f>Cable!K75</f>
        <v> 540  </v>
      </c>
      <c r="L79" s="115" t="str">
        <f>Cable!L75</f>
        <v> 460  </v>
      </c>
      <c r="M79" s="115" t="str">
        <f>Cable!M75</f>
        <v> 605  </v>
      </c>
      <c r="N79" s="115" t="str">
        <f>Cable!N75</f>
        <v> 38.00  </v>
      </c>
      <c r="O79" s="115" t="str">
        <f>Cable!O75</f>
        <v> 57.500  </v>
      </c>
      <c r="P79" s="114">
        <f>Cable!R75</f>
        <v>0.1</v>
      </c>
      <c r="Q79" s="114">
        <f>Cable!S75</f>
        <v>0.07</v>
      </c>
      <c r="R79" s="114">
        <f>Cable!T75</f>
        <v>0.0602</v>
      </c>
      <c r="S79" s="114">
        <f>Cable!U75</f>
        <v>0.07</v>
      </c>
      <c r="T79" s="114" t="str">
        <f>Cable!V75</f>
        <v> 481  </v>
      </c>
      <c r="U79" s="114" t="str">
        <f>Cable!W75</f>
        <v> 405  </v>
      </c>
      <c r="V79" s="114" t="str">
        <f>Cable!X75</f>
        <v> 624  </v>
      </c>
      <c r="W79" s="114" t="str">
        <f>Cable!Y75</f>
        <v> 580  </v>
      </c>
      <c r="X79" s="114" t="str">
        <f>Cable!Z75</f>
        <v> 480  </v>
      </c>
      <c r="Y79" s="114" t="str">
        <f>Cable!AA75</f>
        <v> 750  </v>
      </c>
      <c r="Z79" s="114" t="str">
        <f>Cable!AB75</f>
        <v> 47.00  </v>
      </c>
      <c r="AA79" s="114" t="str">
        <f>Cable!AC75</f>
        <v> 71.50  </v>
      </c>
    </row>
    <row r="80" spans="3:27" ht="11.25">
      <c r="C80" s="115" t="str">
        <f>Cable!C76</f>
        <v>2cX630  </v>
      </c>
      <c r="D80" s="115">
        <f>Cable!D76</f>
        <v>0.09</v>
      </c>
      <c r="E80" s="115">
        <f>Cable!E76</f>
        <v>0.086</v>
      </c>
      <c r="F80" s="115">
        <f>Cable!F76</f>
        <v>0.059</v>
      </c>
      <c r="G80" s="115">
        <f>Cable!G76</f>
        <v>0.086</v>
      </c>
      <c r="H80" s="115" t="str">
        <f>Cable!H76</f>
        <v> 465  </v>
      </c>
      <c r="I80" s="115" t="str">
        <f>Cable!I76</f>
        <v> 415  </v>
      </c>
      <c r="J80" s="115" t="str">
        <f>Cable!J76</f>
        <v> 540  </v>
      </c>
      <c r="K80" s="115" t="str">
        <f>Cable!K76</f>
        <v> 640  </v>
      </c>
      <c r="L80" s="115" t="str">
        <f>Cable!L76</f>
        <v> 550  </v>
      </c>
      <c r="M80" s="115" t="str">
        <f>Cable!M76</f>
        <v> 785  </v>
      </c>
      <c r="N80" s="115" t="str">
        <f>Cable!N76</f>
        <v> 47.90  </v>
      </c>
      <c r="O80" s="115" t="str">
        <f>Cable!O76</f>
        <v> 72.550  </v>
      </c>
      <c r="P80" s="114">
        <f>Cable!R76</f>
        <v>0.1</v>
      </c>
      <c r="Q80" s="114">
        <f>Cable!S76</f>
        <v>0.07</v>
      </c>
      <c r="R80" s="114">
        <f>Cable!T76</f>
        <v>0.0602</v>
      </c>
      <c r="S80" s="114">
        <f>Cable!U76</f>
        <v>0.07</v>
      </c>
      <c r="T80" s="114" t="str">
        <f>Cable!V76</f>
        <v> 537  </v>
      </c>
      <c r="U80" s="114" t="str">
        <f>Cable!W76</f>
        <v> 470  </v>
      </c>
      <c r="V80" s="114" t="str">
        <f>Cable!X76</f>
        <v> 723  </v>
      </c>
      <c r="W80" s="114" t="str">
        <f>Cable!Y76</f>
        <v> 680  </v>
      </c>
      <c r="X80" s="114" t="str">
        <f>Cable!Z76</f>
        <v> 575  </v>
      </c>
      <c r="Y80" s="114" t="str">
        <f>Cable!AA76</f>
        <v> 875  </v>
      </c>
      <c r="Z80" s="114" t="str">
        <f>Cable!AB76</f>
        <v> 59.22  </v>
      </c>
      <c r="AA80" s="114" t="str">
        <f>Cable!AC76</f>
        <v> 90.09  </v>
      </c>
    </row>
    <row r="81" spans="3:27" ht="11.25">
      <c r="C81" s="115" t="str">
        <f>Cable!C77</f>
        <v>3cX1.5</v>
      </c>
      <c r="D81" s="115">
        <f>Cable!D77</f>
        <v>21.72</v>
      </c>
      <c r="E81" s="115">
        <f>Cable!E77</f>
        <v>0.126</v>
      </c>
      <c r="F81" s="115">
        <f>Cable!F77</f>
        <v>14.5</v>
      </c>
      <c r="G81" s="115">
        <f>Cable!G77</f>
        <v>0.126</v>
      </c>
      <c r="H81" s="115">
        <f>Cable!H77</f>
        <v>16</v>
      </c>
      <c r="I81" s="115">
        <f>Cable!I77</f>
        <v>14</v>
      </c>
      <c r="J81" s="115">
        <f>Cable!J77</f>
        <v>13</v>
      </c>
      <c r="K81" s="115">
        <f>Cable!K77</f>
        <v>21</v>
      </c>
      <c r="L81" s="115">
        <f>Cable!L77</f>
        <v>17</v>
      </c>
      <c r="M81" s="115">
        <f>Cable!M77</f>
        <v>17</v>
      </c>
      <c r="N81" s="115">
        <f>Cable!N77</f>
        <v>0.3</v>
      </c>
      <c r="O81" s="115">
        <f>Cable!O77</f>
        <v>0.4</v>
      </c>
      <c r="P81" s="114" t="str">
        <f>Cable!R77</f>
        <v> —  </v>
      </c>
      <c r="Q81" s="114" t="str">
        <f>Cable!S77</f>
        <v> —  </v>
      </c>
      <c r="R81" s="114" t="str">
        <f>Cable!T77</f>
        <v> —  </v>
      </c>
      <c r="S81" s="114" t="str">
        <f>Cable!U77</f>
        <v> —  </v>
      </c>
      <c r="T81" s="114" t="str">
        <f>Cable!V77</f>
        <v> —  </v>
      </c>
      <c r="U81" s="114" t="str">
        <f>Cable!W77</f>
        <v> —  </v>
      </c>
      <c r="V81" s="114" t="str">
        <f>Cable!X77</f>
        <v> —  </v>
      </c>
      <c r="W81" s="114" t="str">
        <f>Cable!Y77</f>
        <v> —  </v>
      </c>
      <c r="X81" s="114" t="str">
        <f>Cable!Z77</f>
        <v> —  </v>
      </c>
      <c r="Y81" s="114" t="str">
        <f>Cable!AA77</f>
        <v> —  </v>
      </c>
      <c r="Z81" s="114" t="str">
        <f>Cable!AB77</f>
        <v> —  </v>
      </c>
      <c r="AA81" s="114" t="str">
        <f>Cable!AC77</f>
        <v> —  </v>
      </c>
    </row>
    <row r="82" spans="3:27" ht="11.25">
      <c r="C82" s="115" t="str">
        <f>Cable!C78</f>
        <v>3cX2.5</v>
      </c>
      <c r="D82" s="115">
        <f>Cable!D78</f>
        <v>14.52</v>
      </c>
      <c r="E82" s="115">
        <f>Cable!E78</f>
        <v>0.119</v>
      </c>
      <c r="F82" s="115">
        <f>Cable!F78</f>
        <v>8.87</v>
      </c>
      <c r="G82" s="115">
        <f>Cable!G78</f>
        <v>0.119</v>
      </c>
      <c r="H82" s="115">
        <f>Cable!H78</f>
        <v>21</v>
      </c>
      <c r="I82" s="115">
        <f>Cable!I78</f>
        <v>18</v>
      </c>
      <c r="J82" s="115">
        <f>Cable!J78</f>
        <v>18</v>
      </c>
      <c r="K82" s="115">
        <f>Cable!K78</f>
        <v>27</v>
      </c>
      <c r="L82" s="115">
        <f>Cable!L78</f>
        <v>24</v>
      </c>
      <c r="M82" s="115">
        <f>Cable!M78</f>
        <v>24</v>
      </c>
      <c r="N82" s="115">
        <f>Cable!N78</f>
        <v>0.3</v>
      </c>
      <c r="O82" s="115">
        <f>Cable!O78</f>
        <v>0.4</v>
      </c>
      <c r="P82" s="114" t="str">
        <f>Cable!R78</f>
        <v> —  </v>
      </c>
      <c r="Q82" s="114" t="str">
        <f>Cable!S78</f>
        <v> —  </v>
      </c>
      <c r="R82" s="114" t="str">
        <f>Cable!T78</f>
        <v> —  </v>
      </c>
      <c r="S82" s="114" t="str">
        <f>Cable!U78</f>
        <v> —  </v>
      </c>
      <c r="T82" s="114" t="str">
        <f>Cable!V78</f>
        <v> —  </v>
      </c>
      <c r="U82" s="114" t="str">
        <f>Cable!W78</f>
        <v> —  </v>
      </c>
      <c r="V82" s="114" t="str">
        <f>Cable!X78</f>
        <v> —  </v>
      </c>
      <c r="W82" s="114" t="str">
        <f>Cable!Y78</f>
        <v> —  </v>
      </c>
      <c r="X82" s="114" t="str">
        <f>Cable!Z78</f>
        <v> —  </v>
      </c>
      <c r="Y82" s="114" t="str">
        <f>Cable!AA78</f>
        <v> —  </v>
      </c>
      <c r="Z82" s="114" t="str">
        <f>Cable!AB78</f>
        <v> —  </v>
      </c>
      <c r="AA82" s="114" t="str">
        <f>Cable!AC78</f>
        <v> —  </v>
      </c>
    </row>
    <row r="83" spans="3:27" ht="11.25">
      <c r="C83" s="115" t="str">
        <f>Cable!C79</f>
        <v>3cX4</v>
      </c>
      <c r="D83" s="115">
        <f>Cable!D79</f>
        <v>8.89</v>
      </c>
      <c r="E83" s="115">
        <f>Cable!E79</f>
        <v>0.116</v>
      </c>
      <c r="F83" s="115">
        <f>Cable!F79</f>
        <v>5.52</v>
      </c>
      <c r="G83" s="115">
        <f>Cable!G79</f>
        <v>0.116</v>
      </c>
      <c r="H83" s="115" t="str">
        <f>Cable!H79</f>
        <v> 28  </v>
      </c>
      <c r="I83" s="115" t="str">
        <f>Cable!I79</f>
        <v> 23  </v>
      </c>
      <c r="J83" s="115" t="str">
        <f>Cable!J79</f>
        <v> 23  </v>
      </c>
      <c r="K83" s="115" t="str">
        <f>Cable!K79</f>
        <v> 36  </v>
      </c>
      <c r="L83" s="115" t="str">
        <f>Cable!L79</f>
        <v> 30  </v>
      </c>
      <c r="M83" s="115" t="str">
        <f>Cable!M79</f>
        <v> 30  </v>
      </c>
      <c r="N83" s="115" t="str">
        <f>Cable!N79</f>
        <v> 0.304  </v>
      </c>
      <c r="O83" s="115" t="str">
        <f>Cable!O79</f>
        <v> 0.460  </v>
      </c>
      <c r="P83" s="114">
        <f>Cable!R79</f>
        <v>1.581</v>
      </c>
      <c r="Q83" s="114">
        <f>Cable!S79</f>
        <v>0.097</v>
      </c>
      <c r="R83" s="114">
        <f>Cable!T79</f>
        <v>1.581</v>
      </c>
      <c r="S83" s="114">
        <f>Cable!U79</f>
        <v>0.097</v>
      </c>
      <c r="T83" s="114" t="str">
        <f>Cable!V79</f>
        <v> 34  </v>
      </c>
      <c r="U83" s="114" t="str">
        <f>Cable!W79</f>
        <v> 28  </v>
      </c>
      <c r="V83" s="114" t="str">
        <f>Cable!X79</f>
        <v> 30  </v>
      </c>
      <c r="W83" s="114" t="str">
        <f>Cable!Y79</f>
        <v> 44  </v>
      </c>
      <c r="X83" s="114" t="str">
        <f>Cable!Z79</f>
        <v> 37  </v>
      </c>
      <c r="Y83" s="114" t="str">
        <f>Cable!AA79</f>
        <v> 39  </v>
      </c>
      <c r="Z83" s="114" t="str">
        <f>Cable!AB79</f>
        <v> 0.376  </v>
      </c>
      <c r="AA83" s="114" t="str">
        <f>Cable!AC79</f>
        <v> 0.572  </v>
      </c>
    </row>
    <row r="84" spans="3:27" ht="11.25">
      <c r="C84" s="115" t="str">
        <f>Cable!C80</f>
        <v>3cX 6  </v>
      </c>
      <c r="D84" s="115">
        <f>Cable!D80</f>
        <v>5.53</v>
      </c>
      <c r="E84" s="115">
        <f>Cable!E80</f>
        <v>0.11</v>
      </c>
      <c r="F84" s="115">
        <f>Cable!F80</f>
        <v>3.69</v>
      </c>
      <c r="G84" s="115">
        <f>Cable!G80</f>
        <v>0.11</v>
      </c>
      <c r="H84" s="115" t="str">
        <f>Cable!H80</f>
        <v> 35  </v>
      </c>
      <c r="I84" s="115" t="str">
        <f>Cable!I80</f>
        <v> 30  </v>
      </c>
      <c r="J84" s="115" t="str">
        <f>Cable!J80</f>
        <v> 30  </v>
      </c>
      <c r="K84" s="115" t="str">
        <f>Cable!K80</f>
        <v> 45  </v>
      </c>
      <c r="L84" s="115" t="str">
        <f>Cable!L80</f>
        <v> 38  </v>
      </c>
      <c r="M84" s="115" t="str">
        <f>Cable!M80</f>
        <v> 39  </v>
      </c>
      <c r="N84" s="115" t="str">
        <f>Cable!N80</f>
        <v> 0.456  </v>
      </c>
      <c r="O84" s="115" t="str">
        <f>Cable!O80</f>
        <v> 0.690  </v>
      </c>
      <c r="P84" s="114">
        <f>Cable!R80</f>
        <v>1.57</v>
      </c>
      <c r="Q84" s="114">
        <f>Cable!S80</f>
        <v>0.097</v>
      </c>
      <c r="R84" s="114">
        <f>Cable!T80</f>
        <v>1.57</v>
      </c>
      <c r="S84" s="114">
        <f>Cable!U80</f>
        <v>0.097</v>
      </c>
      <c r="T84" s="114" t="str">
        <f>Cable!V80</f>
        <v> 43  </v>
      </c>
      <c r="U84" s="114" t="str">
        <f>Cable!W80</f>
        <v> 37  </v>
      </c>
      <c r="V84" s="114" t="str">
        <f>Cable!X80</f>
        <v> 40  </v>
      </c>
      <c r="W84" s="114" t="str">
        <f>Cable!Y80</f>
        <v> 55  </v>
      </c>
      <c r="X84" s="114" t="str">
        <f>Cable!Z80</f>
        <v> 47  </v>
      </c>
      <c r="Y84" s="114" t="str">
        <f>Cable!AA80</f>
        <v> 50  </v>
      </c>
      <c r="Z84" s="114" t="str">
        <f>Cable!AB80</f>
        <v> 0.564  </v>
      </c>
      <c r="AA84" s="114" t="str">
        <f>Cable!AC80</f>
        <v> 0.858  </v>
      </c>
    </row>
    <row r="85" spans="3:27" ht="11.25">
      <c r="C85" s="115" t="str">
        <f>Cable!C81</f>
        <v>3cX 10  </v>
      </c>
      <c r="D85" s="115">
        <f>Cable!D81</f>
        <v>3.7</v>
      </c>
      <c r="E85" s="115">
        <f>Cable!E81</f>
        <v>0.1</v>
      </c>
      <c r="F85" s="115">
        <f>Cable!F81</f>
        <v>2.19</v>
      </c>
      <c r="G85" s="115">
        <f>Cable!G81</f>
        <v>0.1</v>
      </c>
      <c r="H85" s="115" t="str">
        <f>Cable!H81</f>
        <v> 46  </v>
      </c>
      <c r="I85" s="115" t="str">
        <f>Cable!I81</f>
        <v> 39  </v>
      </c>
      <c r="J85" s="115" t="str">
        <f>Cable!J81</f>
        <v> 40  </v>
      </c>
      <c r="K85" s="115" t="str">
        <f>Cable!K81</f>
        <v> 60  </v>
      </c>
      <c r="L85" s="115" t="str">
        <f>Cable!L81</f>
        <v> 50  </v>
      </c>
      <c r="M85" s="115" t="str">
        <f>Cable!M81</f>
        <v> 52  </v>
      </c>
      <c r="N85" s="115" t="str">
        <f>Cable!N81</f>
        <v> 0.760  </v>
      </c>
      <c r="O85" s="115" t="str">
        <f>Cable!O81</f>
        <v> 1.150  </v>
      </c>
      <c r="P85" s="114">
        <f>Cable!R81</f>
        <v>1.55</v>
      </c>
      <c r="Q85" s="114">
        <f>Cable!S81</f>
        <v>0.08</v>
      </c>
      <c r="R85" s="114">
        <f>Cable!T81</f>
        <v>1.55</v>
      </c>
      <c r="S85" s="114">
        <f>Cable!U81</f>
        <v>0.08</v>
      </c>
      <c r="T85" s="114" t="str">
        <f>Cable!V81</f>
        <v> 57  </v>
      </c>
      <c r="U85" s="114" t="str">
        <f>Cable!W81</f>
        <v> 48  </v>
      </c>
      <c r="V85" s="114" t="str">
        <f>Cable!X81</f>
        <v> 53  </v>
      </c>
      <c r="W85" s="114" t="str">
        <f>Cable!Y81</f>
        <v> 74  </v>
      </c>
      <c r="X85" s="114" t="str">
        <f>Cable!Z81</f>
        <v> 61  </v>
      </c>
      <c r="Y85" s="114" t="str">
        <f>Cable!AA81</f>
        <v> 67  </v>
      </c>
      <c r="Z85" s="114" t="str">
        <f>Cable!AB81</f>
        <v> 0.940  </v>
      </c>
      <c r="AA85" s="114" t="str">
        <f>Cable!AC81</f>
        <v> 1.430  </v>
      </c>
    </row>
    <row r="86" spans="3:27" ht="11.25">
      <c r="C86" s="115" t="str">
        <f>Cable!C82</f>
        <v>3cX 16  </v>
      </c>
      <c r="D86" s="115">
        <f>Cable!D82</f>
        <v>2.29</v>
      </c>
      <c r="E86" s="115">
        <f>Cable!E82</f>
        <v>0.097</v>
      </c>
      <c r="F86" s="115">
        <f>Cable!F82</f>
        <v>1.38</v>
      </c>
      <c r="G86" s="115">
        <f>Cable!G82</f>
        <v>0.097</v>
      </c>
      <c r="H86" s="115" t="str">
        <f>Cable!H82</f>
        <v> 60  </v>
      </c>
      <c r="I86" s="115" t="str">
        <f>Cable!I82</f>
        <v> 50  </v>
      </c>
      <c r="J86" s="115" t="str">
        <f>Cable!J82</f>
        <v> 51  </v>
      </c>
      <c r="K86" s="115" t="str">
        <f>Cable!K82</f>
        <v> 77  </v>
      </c>
      <c r="L86" s="115" t="str">
        <f>Cable!L82</f>
        <v> 64  </v>
      </c>
      <c r="M86" s="115" t="str">
        <f>Cable!M82</f>
        <v> 66  </v>
      </c>
      <c r="N86" s="115" t="str">
        <f>Cable!N82</f>
        <v> 1.220  </v>
      </c>
      <c r="O86" s="115" t="str">
        <f>Cable!O82</f>
        <v> 1.840  </v>
      </c>
      <c r="P86" s="114">
        <f>Cable!R82</f>
        <v>1.557</v>
      </c>
      <c r="Q86" s="114">
        <f>Cable!S82</f>
        <v>0.08</v>
      </c>
      <c r="R86" s="114">
        <f>Cable!T82</f>
        <v>1.557</v>
      </c>
      <c r="S86" s="114">
        <f>Cable!U82</f>
        <v>0.08</v>
      </c>
      <c r="T86" s="114" t="str">
        <f>Cable!V82</f>
        <v> 78  </v>
      </c>
      <c r="U86" s="114" t="str">
        <f>Cable!W82</f>
        <v> 61  </v>
      </c>
      <c r="V86" s="114" t="str">
        <f>Cable!X82</f>
        <v> 70  </v>
      </c>
      <c r="W86" s="114" t="str">
        <f>Cable!Y82</f>
        <v> 94  </v>
      </c>
      <c r="X86" s="114" t="str">
        <f>Cable!Z82</f>
        <v> 78  </v>
      </c>
      <c r="Y86" s="114" t="str">
        <f>Cable!AA82</f>
        <v> 85  </v>
      </c>
      <c r="Z86" s="114" t="str">
        <f>Cable!AB82</f>
        <v> 1.50  </v>
      </c>
      <c r="AA86" s="114" t="str">
        <f>Cable!AC82</f>
        <v> 2.29  </v>
      </c>
    </row>
    <row r="87" spans="3:27" ht="11.25">
      <c r="C87" s="115" t="str">
        <f>Cable!C83</f>
        <v>3cX 25  </v>
      </c>
      <c r="D87" s="115">
        <f>Cable!D83</f>
        <v>1.44</v>
      </c>
      <c r="E87" s="115">
        <f>Cable!E83</f>
        <v>0.097</v>
      </c>
      <c r="F87" s="115">
        <f>Cable!F83</f>
        <v>0.87</v>
      </c>
      <c r="G87" s="115">
        <f>Cable!G83</f>
        <v>0.097</v>
      </c>
      <c r="H87" s="115" t="str">
        <f>Cable!H83</f>
        <v> 76  </v>
      </c>
      <c r="I87" s="115" t="str">
        <f>Cable!I83</f>
        <v> 63  </v>
      </c>
      <c r="J87" s="115" t="str">
        <f>Cable!J83</f>
        <v> 70  </v>
      </c>
      <c r="K87" s="115" t="str">
        <f>Cable!K83</f>
        <v> 99  </v>
      </c>
      <c r="L87" s="115" t="str">
        <f>Cable!L83</f>
        <v> 81  </v>
      </c>
      <c r="M87" s="115" t="str">
        <f>Cable!M83</f>
        <v> 90  </v>
      </c>
      <c r="N87" s="115" t="str">
        <f>Cable!N83</f>
        <v> 1.900  </v>
      </c>
      <c r="O87" s="115" t="str">
        <f>Cable!O83</f>
        <v> 2.880  </v>
      </c>
      <c r="P87" s="114">
        <f>Cable!R83</f>
        <v>1.54</v>
      </c>
      <c r="Q87" s="114">
        <f>Cable!S83</f>
        <v>0.08</v>
      </c>
      <c r="R87" s="114">
        <f>Cable!T83</f>
        <v>0.93</v>
      </c>
      <c r="S87" s="114">
        <f>Cable!U83</f>
        <v>0.08</v>
      </c>
      <c r="T87" s="114" t="str">
        <f>Cable!V83</f>
        <v> 95  </v>
      </c>
      <c r="U87" s="114" t="str">
        <f>Cable!W83</f>
        <v> 80  </v>
      </c>
      <c r="V87" s="114" t="str">
        <f>Cable!X83</f>
        <v> 99  </v>
      </c>
      <c r="W87" s="114" t="str">
        <f>Cable!Y83</f>
        <v> 120  </v>
      </c>
      <c r="X87" s="114" t="str">
        <f>Cable!Z83</f>
        <v> 100  </v>
      </c>
      <c r="Y87" s="114" t="str">
        <f>Cable!AA83</f>
        <v> 125  </v>
      </c>
      <c r="Z87" s="114" t="str">
        <f>Cable!AB83</f>
        <v> 2.35  </v>
      </c>
      <c r="AA87" s="114" t="str">
        <f>Cable!AC83</f>
        <v> 3.58  </v>
      </c>
    </row>
    <row r="88" spans="3:27" ht="11.25">
      <c r="C88" s="115" t="str">
        <f>Cable!C84</f>
        <v>3cX 35  </v>
      </c>
      <c r="D88" s="115">
        <f>Cable!D84</f>
        <v>1.04</v>
      </c>
      <c r="E88" s="115">
        <f>Cable!E84</f>
        <v>0.097</v>
      </c>
      <c r="F88" s="115">
        <f>Cable!F84</f>
        <v>0.627</v>
      </c>
      <c r="G88" s="115">
        <f>Cable!G84</f>
        <v>0.097</v>
      </c>
      <c r="H88" s="115" t="str">
        <f>Cable!H84</f>
        <v> 92  </v>
      </c>
      <c r="I88" s="115" t="str">
        <f>Cable!I84</f>
        <v> 77  </v>
      </c>
      <c r="J88" s="115" t="str">
        <f>Cable!J84</f>
        <v> 86  </v>
      </c>
      <c r="K88" s="115" t="str">
        <f>Cable!K84</f>
        <v> 120  </v>
      </c>
      <c r="L88" s="115" t="str">
        <f>Cable!L84</f>
        <v> 99  </v>
      </c>
      <c r="M88" s="115" t="str">
        <f>Cable!M84</f>
        <v> 110  </v>
      </c>
      <c r="N88" s="115" t="str">
        <f>Cable!N84</f>
        <v> 2.660  </v>
      </c>
      <c r="O88" s="115" t="str">
        <f>Cable!O84</f>
        <v> 4.030  </v>
      </c>
      <c r="P88" s="114">
        <f>Cable!R84</f>
        <v>1.11</v>
      </c>
      <c r="Q88" s="114">
        <f>Cable!S84</f>
        <v>0.08</v>
      </c>
      <c r="R88" s="114">
        <f>Cable!T84</f>
        <v>0.671</v>
      </c>
      <c r="S88" s="114">
        <f>Cable!U84</f>
        <v>0.08</v>
      </c>
      <c r="T88" s="114" t="str">
        <f>Cable!V84</f>
        <v> 116  </v>
      </c>
      <c r="U88" s="114" t="str">
        <f>Cable!W84</f>
        <v> 94  </v>
      </c>
      <c r="V88" s="114" t="str">
        <f>Cable!X84</f>
        <v> 117  </v>
      </c>
      <c r="W88" s="114" t="str">
        <f>Cable!Y84</f>
        <v> 145  </v>
      </c>
      <c r="X88" s="114" t="str">
        <f>Cable!Z84</f>
        <v> 120  </v>
      </c>
      <c r="Y88" s="114" t="str">
        <f>Cable!AA84</f>
        <v> 155  </v>
      </c>
      <c r="Z88" s="114" t="str">
        <f>Cable!AB84</f>
        <v> 3.29  </v>
      </c>
      <c r="AA88" s="114" t="str">
        <f>Cable!AC84</f>
        <v> 5.01  </v>
      </c>
    </row>
    <row r="89" spans="3:27" ht="11.25">
      <c r="C89" s="115" t="str">
        <f>Cable!C85</f>
        <v>3cX 50  </v>
      </c>
      <c r="D89" s="115">
        <f>Cable!D85</f>
        <v>0.77</v>
      </c>
      <c r="E89" s="115">
        <f>Cable!E85</f>
        <v>0.094</v>
      </c>
      <c r="F89" s="115">
        <f>Cable!F85</f>
        <v>0.463</v>
      </c>
      <c r="G89" s="115">
        <f>Cable!G85</f>
        <v>0.094</v>
      </c>
      <c r="H89" s="115" t="str">
        <f>Cable!H85</f>
        <v> 110  </v>
      </c>
      <c r="I89" s="115" t="str">
        <f>Cable!I85</f>
        <v> 95  </v>
      </c>
      <c r="J89" s="115" t="str">
        <f>Cable!J85</f>
        <v> 105  </v>
      </c>
      <c r="K89" s="115" t="str">
        <f>Cable!K85</f>
        <v> 145  </v>
      </c>
      <c r="L89" s="115" t="str">
        <f>Cable!L85</f>
        <v> 125  </v>
      </c>
      <c r="M89" s="115" t="str">
        <f>Cable!M85</f>
        <v> 135  </v>
      </c>
      <c r="N89" s="115" t="str">
        <f>Cable!N85</f>
        <v> 3.800  </v>
      </c>
      <c r="O89" s="115" t="str">
        <f>Cable!O85</f>
        <v> 5.750  </v>
      </c>
      <c r="P89" s="114">
        <f>Cable!R85</f>
        <v>0.82</v>
      </c>
      <c r="Q89" s="114">
        <f>Cable!S85</f>
        <v>0.78</v>
      </c>
      <c r="R89" s="114">
        <f>Cable!T85</f>
        <v>0.495</v>
      </c>
      <c r="S89" s="114">
        <f>Cable!U85</f>
        <v>0.078</v>
      </c>
      <c r="T89" s="114" t="str">
        <f>Cable!V85</f>
        <v> 140  </v>
      </c>
      <c r="U89" s="114" t="str">
        <f>Cable!W85</f>
        <v> 110  </v>
      </c>
      <c r="V89" s="114" t="str">
        <f>Cable!X85</f>
        <v> 140  </v>
      </c>
      <c r="W89" s="114" t="str">
        <f>Cable!Y85</f>
        <v> 170  </v>
      </c>
      <c r="X89" s="114" t="str">
        <f>Cable!Z85</f>
        <v> 145  </v>
      </c>
      <c r="Y89" s="114" t="str">
        <f>Cable!AA85</f>
        <v> 190  </v>
      </c>
      <c r="Z89" s="114" t="str">
        <f>Cable!AB85</f>
        <v> 4.70  </v>
      </c>
      <c r="AA89" s="114" t="str">
        <f>Cable!AC85</f>
        <v> 7.15  </v>
      </c>
    </row>
    <row r="90" spans="3:27" ht="11.25">
      <c r="C90" s="115" t="str">
        <f>Cable!C86</f>
        <v>3cX 70  </v>
      </c>
      <c r="D90" s="115">
        <f>Cable!D86</f>
        <v>0.53</v>
      </c>
      <c r="E90" s="115">
        <f>Cable!E86</f>
        <v>0.09</v>
      </c>
      <c r="F90" s="115">
        <f>Cable!F86</f>
        <v>0.321</v>
      </c>
      <c r="G90" s="115">
        <f>Cable!G86</f>
        <v>0.09</v>
      </c>
      <c r="H90" s="115" t="str">
        <f>Cable!H86</f>
        <v> 135  </v>
      </c>
      <c r="I90" s="115" t="str">
        <f>Cable!I86</f>
        <v> 115  </v>
      </c>
      <c r="J90" s="115" t="str">
        <f>Cable!J86</f>
        <v> 130  </v>
      </c>
      <c r="K90" s="115" t="str">
        <f>Cable!K86</f>
        <v> 175  </v>
      </c>
      <c r="L90" s="115" t="str">
        <f>Cable!L86</f>
        <v> 150  </v>
      </c>
      <c r="M90" s="115" t="str">
        <f>Cable!M86</f>
        <v> 165  </v>
      </c>
      <c r="N90" s="115" t="str">
        <f>Cable!N86</f>
        <v> 5.320  </v>
      </c>
      <c r="O90" s="115" t="str">
        <f>Cable!O86</f>
        <v> 8.050  </v>
      </c>
      <c r="P90" s="114">
        <f>Cable!R86</f>
        <v>0.57</v>
      </c>
      <c r="Q90" s="114">
        <f>Cable!S86</f>
        <v>0.077</v>
      </c>
      <c r="R90" s="114">
        <f>Cable!T86</f>
        <v>0.343</v>
      </c>
      <c r="S90" s="114">
        <f>Cable!U86</f>
        <v>0.077</v>
      </c>
      <c r="T90" s="114" t="str">
        <f>Cable!V86</f>
        <v> 170  </v>
      </c>
      <c r="U90" s="114" t="str">
        <f>Cable!W86</f>
        <v> 140  </v>
      </c>
      <c r="V90" s="114" t="str">
        <f>Cable!X86</f>
        <v> 176  </v>
      </c>
      <c r="W90" s="114" t="str">
        <f>Cable!Y86</f>
        <v> 210  </v>
      </c>
      <c r="X90" s="114" t="str">
        <f>Cable!Z86</f>
        <v> 175  </v>
      </c>
      <c r="Y90" s="114" t="str">
        <f>Cable!AA86</f>
        <v> 235  </v>
      </c>
      <c r="Z90" s="114" t="str">
        <f>Cable!AB86</f>
        <v> 6.58  </v>
      </c>
      <c r="AA90" s="114" t="str">
        <f>Cable!AC86</f>
        <v> 10.01  </v>
      </c>
    </row>
    <row r="91" spans="3:27" ht="11.25">
      <c r="C91" s="115" t="str">
        <f>Cable!C87</f>
        <v>3cX 95  </v>
      </c>
      <c r="D91" s="115">
        <f>Cable!D87</f>
        <v>0.38</v>
      </c>
      <c r="E91" s="115">
        <f>Cable!E87</f>
        <v>0.9</v>
      </c>
      <c r="F91" s="115">
        <f>Cable!F87</f>
        <v>0.231</v>
      </c>
      <c r="G91" s="115">
        <f>Cable!G87</f>
        <v>0.09</v>
      </c>
      <c r="H91" s="115" t="str">
        <f>Cable!H87</f>
        <v> 165  </v>
      </c>
      <c r="I91" s="115" t="str">
        <f>Cable!I87</f>
        <v> 140  </v>
      </c>
      <c r="J91" s="115" t="str">
        <f>Cable!J87</f>
        <v> 155  </v>
      </c>
      <c r="K91" s="115" t="str">
        <f>Cable!K87</f>
        <v> 210  </v>
      </c>
      <c r="L91" s="115" t="str">
        <f>Cable!L87</f>
        <v> 175  </v>
      </c>
      <c r="M91" s="115" t="str">
        <f>Cable!M87</f>
        <v> 200  </v>
      </c>
      <c r="N91" s="115" t="str">
        <f>Cable!N87</f>
        <v> 7.220  </v>
      </c>
      <c r="O91" s="115" t="str">
        <f>Cable!O87</f>
        <v> 10.900  </v>
      </c>
      <c r="P91" s="114">
        <f>Cable!R87</f>
        <v>0.41</v>
      </c>
      <c r="Q91" s="114">
        <f>Cable!S87</f>
        <v>0.074</v>
      </c>
      <c r="R91" s="114">
        <f>Cable!T87</f>
        <v>0.247</v>
      </c>
      <c r="S91" s="114">
        <f>Cable!U87</f>
        <v>0.074</v>
      </c>
      <c r="T91" s="114" t="str">
        <f>Cable!V87</f>
        <v> 200  </v>
      </c>
      <c r="U91" s="114" t="str">
        <f>Cable!W87</f>
        <v> 165  </v>
      </c>
      <c r="V91" s="114" t="str">
        <f>Cable!X87</f>
        <v> 221  </v>
      </c>
      <c r="W91" s="114" t="str">
        <f>Cable!Y87</f>
        <v> 250  </v>
      </c>
      <c r="X91" s="114" t="str">
        <f>Cable!Z87</f>
        <v> 210  </v>
      </c>
      <c r="Y91" s="114" t="str">
        <f>Cable!AA87</f>
        <v> 290  </v>
      </c>
      <c r="Z91" s="114" t="str">
        <f>Cable!AB87</f>
        <v> 8.93  </v>
      </c>
      <c r="AA91" s="114" t="str">
        <f>Cable!AC87</f>
        <v> 13.59  </v>
      </c>
    </row>
    <row r="92" spans="3:27" ht="11.25">
      <c r="C92" s="115" t="str">
        <f>Cable!C88</f>
        <v>3cX 120  </v>
      </c>
      <c r="D92" s="115">
        <f>Cable!D88</f>
        <v>0.3</v>
      </c>
      <c r="E92" s="115">
        <f>Cable!E88</f>
        <v>0.087</v>
      </c>
      <c r="F92" s="115">
        <f>Cable!F88</f>
        <v>0.184</v>
      </c>
      <c r="G92" s="115">
        <f>Cable!G88</f>
        <v>0.087</v>
      </c>
      <c r="H92" s="115" t="str">
        <f>Cable!H88</f>
        <v> 185  </v>
      </c>
      <c r="I92" s="115" t="str">
        <f>Cable!I88</f>
        <v> 155  </v>
      </c>
      <c r="J92" s="115" t="str">
        <f>Cable!J88</f>
        <v> 180  </v>
      </c>
      <c r="K92" s="115" t="str">
        <f>Cable!K88</f>
        <v> 240  </v>
      </c>
      <c r="L92" s="115" t="str">
        <f>Cable!L88</f>
        <v> 195  </v>
      </c>
      <c r="M92" s="115" t="str">
        <f>Cable!M88</f>
        <v> 230  </v>
      </c>
      <c r="N92" s="115" t="str">
        <f>Cable!N88</f>
        <v> 9.120  </v>
      </c>
      <c r="O92" s="115" t="str">
        <f>Cable!O88</f>
        <v> 13.800  </v>
      </c>
      <c r="P92" s="114">
        <f>Cable!R88</f>
        <v>0.33</v>
      </c>
      <c r="Q92" s="114">
        <f>Cable!S88</f>
        <v>0.072</v>
      </c>
      <c r="R92" s="114">
        <f>Cable!T88</f>
        <v>0.196</v>
      </c>
      <c r="S92" s="114">
        <f>Cable!U88</f>
        <v>0.072</v>
      </c>
      <c r="T92" s="114" t="str">
        <f>Cable!V88</f>
        <v> 225  </v>
      </c>
      <c r="U92" s="114" t="str">
        <f>Cable!W88</f>
        <v> 185  </v>
      </c>
      <c r="V92" s="114" t="str">
        <f>Cable!X88</f>
        <v> 258  </v>
      </c>
      <c r="W92" s="114" t="str">
        <f>Cable!Y88</f>
        <v> 285  </v>
      </c>
      <c r="X92" s="114" t="str">
        <f>Cable!Z88</f>
        <v> 240  </v>
      </c>
      <c r="Y92" s="114" t="str">
        <f>Cable!AA88</f>
        <v> 330  </v>
      </c>
      <c r="Z92" s="114" t="str">
        <f>Cable!AB88</f>
        <v> 11.28  </v>
      </c>
      <c r="AA92" s="114" t="str">
        <f>Cable!AC88</f>
        <v> 17.16  </v>
      </c>
    </row>
    <row r="93" spans="3:27" ht="11.25">
      <c r="C93" s="115" t="str">
        <f>Cable!C89</f>
        <v>3cX 150  </v>
      </c>
      <c r="D93" s="115">
        <f>Cable!D89</f>
        <v>0.25</v>
      </c>
      <c r="E93" s="115">
        <f>Cable!E89</f>
        <v>0.087</v>
      </c>
      <c r="F93" s="115">
        <f>Cable!F89</f>
        <v>0.149</v>
      </c>
      <c r="G93" s="115">
        <f>Cable!G89</f>
        <v>0.087</v>
      </c>
      <c r="H93" s="115" t="str">
        <f>Cable!H89</f>
        <v> 210  </v>
      </c>
      <c r="I93" s="115" t="str">
        <f>Cable!I89</f>
        <v> 175  </v>
      </c>
      <c r="J93" s="115" t="str">
        <f>Cable!J89</f>
        <v> 205  </v>
      </c>
      <c r="K93" s="115" t="str">
        <f>Cable!K89</f>
        <v> 270  </v>
      </c>
      <c r="L93" s="115" t="str">
        <f>Cable!L89</f>
        <v> 225  </v>
      </c>
      <c r="M93" s="115" t="str">
        <f>Cable!M89</f>
        <v> 265  </v>
      </c>
      <c r="N93" s="115" t="str">
        <f>Cable!N89</f>
        <v> 11.40  </v>
      </c>
      <c r="O93" s="115" t="str">
        <f>Cable!O89</f>
        <v> 17.300  </v>
      </c>
      <c r="P93" s="114">
        <f>Cable!R89</f>
        <v>0.27</v>
      </c>
      <c r="Q93" s="114">
        <f>Cable!S89</f>
        <v>0.072</v>
      </c>
      <c r="R93" s="114">
        <f>Cable!T89</f>
        <v>0.159</v>
      </c>
      <c r="S93" s="114">
        <f>Cable!U89</f>
        <v>0.072</v>
      </c>
      <c r="T93" s="114" t="str">
        <f>Cable!V89</f>
        <v> 255  </v>
      </c>
      <c r="U93" s="114" t="str">
        <f>Cable!W89</f>
        <v> 210  </v>
      </c>
      <c r="V93" s="114" t="str">
        <f>Cable!X89</f>
        <v> 294  </v>
      </c>
      <c r="W93" s="114" t="str">
        <f>Cable!Y89</f>
        <v> 315  </v>
      </c>
      <c r="X93" s="114" t="str">
        <f>Cable!Z89</f>
        <v> 270  </v>
      </c>
      <c r="Y93" s="114" t="str">
        <f>Cable!AA89</f>
        <v> 375  </v>
      </c>
      <c r="Z93" s="114" t="str">
        <f>Cable!AB89</f>
        <v> 14.10  </v>
      </c>
      <c r="AA93" s="114" t="str">
        <f>Cable!AC89</f>
        <v> 21.45  </v>
      </c>
    </row>
    <row r="94" spans="3:27" ht="11.25">
      <c r="C94" s="115" t="str">
        <f>Cable!C90</f>
        <v>3cX 185  </v>
      </c>
      <c r="D94" s="115">
        <f>Cable!D90</f>
        <v>0.2</v>
      </c>
      <c r="E94" s="115">
        <f>Cable!E90</f>
        <v>0.087</v>
      </c>
      <c r="F94" s="115">
        <f>Cable!F90</f>
        <v>0.12</v>
      </c>
      <c r="G94" s="115">
        <f>Cable!G90</f>
        <v>0.087</v>
      </c>
      <c r="H94" s="115" t="str">
        <f>Cable!H90</f>
        <v> 235  </v>
      </c>
      <c r="I94" s="115" t="str">
        <f>Cable!I90</f>
        <v> 200  </v>
      </c>
      <c r="J94" s="115" t="str">
        <f>Cable!J90</f>
        <v> 240  </v>
      </c>
      <c r="K94" s="115" t="str">
        <f>Cable!K90</f>
        <v> 300  </v>
      </c>
      <c r="L94" s="115" t="str">
        <f>Cable!L90</f>
        <v> 255  </v>
      </c>
      <c r="M94" s="115" t="str">
        <f>Cable!M90</f>
        <v> 305  </v>
      </c>
      <c r="N94" s="115" t="str">
        <f>Cable!N90</f>
        <v> 14.10  </v>
      </c>
      <c r="O94" s="115" t="str">
        <f>Cable!O90</f>
        <v> 21.300  </v>
      </c>
      <c r="P94" s="114">
        <f>Cable!R90</f>
        <v>0.21</v>
      </c>
      <c r="Q94" s="114">
        <f>Cable!S90</f>
        <v>0.072</v>
      </c>
      <c r="R94" s="114">
        <f>Cable!T90</f>
        <v>0.127</v>
      </c>
      <c r="S94" s="114">
        <f>Cable!U90</f>
        <v>0.072</v>
      </c>
      <c r="T94" s="114" t="str">
        <f>Cable!V90</f>
        <v> 285  </v>
      </c>
      <c r="U94" s="114" t="str">
        <f>Cable!W90</f>
        <v> 235  </v>
      </c>
      <c r="V94" s="114" t="str">
        <f>Cable!X90</f>
        <v> 339  </v>
      </c>
      <c r="W94" s="114" t="str">
        <f>Cable!Y90</f>
        <v> 355  </v>
      </c>
      <c r="X94" s="114" t="str">
        <f>Cable!Z90</f>
        <v> 300  </v>
      </c>
      <c r="Y94" s="114" t="str">
        <f>Cable!AA90</f>
        <v> 435  </v>
      </c>
      <c r="Z94" s="114" t="str">
        <f>Cable!AB90</f>
        <v> 17.39  </v>
      </c>
      <c r="AA94" s="114" t="str">
        <f>Cable!AC90</f>
        <v> 26.46  </v>
      </c>
    </row>
    <row r="95" spans="3:27" ht="11.25">
      <c r="C95" s="115" t="str">
        <f>Cable!C91</f>
        <v>3cX 240  </v>
      </c>
      <c r="D95" s="115">
        <f>Cable!D91</f>
        <v>0.15</v>
      </c>
      <c r="E95" s="115">
        <f>Cable!E91</f>
        <v>0.087</v>
      </c>
      <c r="F95" s="115">
        <f>Cable!F91</f>
        <v>0.0912</v>
      </c>
      <c r="G95" s="115">
        <f>Cable!G91</f>
        <v>0.087</v>
      </c>
      <c r="H95" s="115" t="str">
        <f>Cable!H91</f>
        <v> 275  </v>
      </c>
      <c r="I95" s="115" t="str">
        <f>Cable!I91</f>
        <v> 235  </v>
      </c>
      <c r="J95" s="115" t="str">
        <f>Cable!J91</f>
        <v> 280  </v>
      </c>
      <c r="K95" s="115" t="str">
        <f>Cable!K91</f>
        <v> 345  </v>
      </c>
      <c r="L95" s="115" t="str">
        <f>Cable!L91</f>
        <v> 295  </v>
      </c>
      <c r="M95" s="115" t="str">
        <f>Cable!M91</f>
        <v> 355  </v>
      </c>
      <c r="N95" s="115" t="str">
        <f>Cable!N91</f>
        <v> 18.20  </v>
      </c>
      <c r="O95" s="115" t="str">
        <f>Cable!O91</f>
        <v> 27.600  </v>
      </c>
      <c r="P95" s="114">
        <f>Cable!R91</f>
        <v>0.16</v>
      </c>
      <c r="Q95" s="114">
        <f>Cable!S91</f>
        <v>0.072</v>
      </c>
      <c r="R95" s="114">
        <f>Cable!T91</f>
        <v>0.0965</v>
      </c>
      <c r="S95" s="114">
        <f>Cable!U91</f>
        <v>0.072</v>
      </c>
      <c r="T95" s="114" t="str">
        <f>Cable!V91</f>
        <v> 325  </v>
      </c>
      <c r="U95" s="114" t="str">
        <f>Cable!W91</f>
        <v> 270  </v>
      </c>
      <c r="V95" s="114" t="str">
        <f>Cable!X91</f>
        <v> 402  </v>
      </c>
      <c r="W95" s="114" t="str">
        <f>Cable!Y91</f>
        <v> 410  </v>
      </c>
      <c r="X95" s="114" t="str">
        <f>Cable!Z91</f>
        <v> 350  </v>
      </c>
      <c r="Y95" s="114" t="str">
        <f>Cable!AA91</f>
        <v> 510  </v>
      </c>
      <c r="Z95" s="114" t="str">
        <f>Cable!AB91</f>
        <v> 22.56  </v>
      </c>
      <c r="AA95" s="114" t="str">
        <f>Cable!AC91</f>
        <v> 34.32  </v>
      </c>
    </row>
    <row r="96" spans="3:27" ht="11.25">
      <c r="C96" s="115" t="str">
        <f>Cable!C92</f>
        <v>3cX 300  </v>
      </c>
      <c r="D96" s="115">
        <f>Cable!D92</f>
        <v>0.12</v>
      </c>
      <c r="E96" s="115">
        <f>Cable!E92</f>
        <v>0.086</v>
      </c>
      <c r="F96" s="115">
        <f>Cable!F92</f>
        <v>0.0739</v>
      </c>
      <c r="G96" s="115">
        <f>Cable!G92</f>
        <v>0.086</v>
      </c>
      <c r="H96" s="115" t="str">
        <f>Cable!H92</f>
        <v> 305  </v>
      </c>
      <c r="I96" s="115" t="str">
        <f>Cable!I92</f>
        <v> 260  </v>
      </c>
      <c r="J96" s="115" t="str">
        <f>Cable!J92</f>
        <v> 315  </v>
      </c>
      <c r="K96" s="115" t="str">
        <f>Cable!K92</f>
        <v> 385  </v>
      </c>
      <c r="L96" s="115" t="str">
        <f>Cable!L92</f>
        <v> 335  </v>
      </c>
      <c r="M96" s="115" t="str">
        <f>Cable!M92</f>
        <v> 400  </v>
      </c>
      <c r="N96" s="115" t="str">
        <f>Cable!N92</f>
        <v> 22.80  </v>
      </c>
      <c r="O96" s="115" t="str">
        <f>Cable!O92</f>
        <v> 34.500  </v>
      </c>
      <c r="P96" s="114">
        <f>Cable!R92</f>
        <v>0.13</v>
      </c>
      <c r="Q96" s="114">
        <f>Cable!S92</f>
        <v>0.071</v>
      </c>
      <c r="R96" s="114">
        <f>Cable!T92</f>
        <v>0.0769</v>
      </c>
      <c r="S96" s="114">
        <f>Cable!U92</f>
        <v>0.071</v>
      </c>
      <c r="T96" s="114" t="str">
        <f>Cable!V92</f>
        <v> 370  </v>
      </c>
      <c r="U96" s="114" t="str">
        <f>Cable!W92</f>
        <v> 305  </v>
      </c>
      <c r="V96" s="114" t="str">
        <f>Cable!X92</f>
        <v> 461  </v>
      </c>
      <c r="W96" s="114" t="str">
        <f>Cable!Y92</f>
        <v> 460  </v>
      </c>
      <c r="X96" s="114" t="str">
        <f>Cable!Z92</f>
        <v> 390  </v>
      </c>
      <c r="Y96" s="114" t="str">
        <f>Cable!AA92</f>
        <v> 590  </v>
      </c>
      <c r="Z96" s="114" t="str">
        <f>Cable!AB92</f>
        <v> 28.20  </v>
      </c>
      <c r="AA96" s="114" t="str">
        <f>Cable!AC92</f>
        <v> 42.90  </v>
      </c>
    </row>
    <row r="97" spans="3:27" ht="11.25">
      <c r="C97" s="115" t="str">
        <f>Cable!C93</f>
        <v>3cX 400  </v>
      </c>
      <c r="D97" s="115">
        <f>Cable!D93</f>
        <v>0.09</v>
      </c>
      <c r="E97" s="115">
        <f>Cable!E93</f>
        <v>0.086</v>
      </c>
      <c r="F97" s="115">
        <f>Cable!F93</f>
        <v>0.0592</v>
      </c>
      <c r="G97" s="115">
        <f>Cable!G93</f>
        <v>0.086</v>
      </c>
      <c r="H97" s="115" t="str">
        <f>Cable!H93</f>
        <v> 335  </v>
      </c>
      <c r="I97" s="115" t="str">
        <f>Cable!I93</f>
        <v> 290  </v>
      </c>
      <c r="J97" s="115" t="str">
        <f>Cable!J93</f>
        <v> 375  </v>
      </c>
      <c r="K97" s="115" t="str">
        <f>Cable!K93</f>
        <v> 425  </v>
      </c>
      <c r="L97" s="115" t="str">
        <f>Cable!L93</f>
        <v> 360  </v>
      </c>
      <c r="M97" s="115" t="str">
        <f>Cable!M93</f>
        <v> 435  </v>
      </c>
      <c r="N97" s="115" t="str">
        <f>Cable!N93</f>
        <v> 30.40  </v>
      </c>
      <c r="O97" s="115" t="str">
        <f>Cable!O93</f>
        <v> 46.000  </v>
      </c>
      <c r="P97" s="114">
        <f>Cable!R93</f>
        <v>0.1</v>
      </c>
      <c r="Q97" s="114">
        <f>Cable!S93</f>
        <v>0.07</v>
      </c>
      <c r="R97" s="114">
        <f>Cable!T93</f>
        <v>0.0602</v>
      </c>
      <c r="S97" s="114">
        <f>Cable!U93</f>
        <v>0.07</v>
      </c>
      <c r="T97" s="114" t="str">
        <f>Cable!V93</f>
        <v> 435  </v>
      </c>
      <c r="U97" s="114" t="str">
        <f>Cable!W93</f>
        <v> 350  </v>
      </c>
      <c r="V97" s="114" t="str">
        <f>Cable!X93</f>
        <v> 542  </v>
      </c>
      <c r="W97" s="114" t="str">
        <f>Cable!Y93</f>
        <v> 520  </v>
      </c>
      <c r="X97" s="114" t="str">
        <f>Cable!Z93</f>
        <v> 440  </v>
      </c>
      <c r="Y97" s="114" t="str">
        <f>Cable!AA93</f>
        <v> 670  </v>
      </c>
      <c r="Z97" s="114" t="str">
        <f>Cable!AB93</f>
        <v> 37.60  </v>
      </c>
      <c r="AA97" s="114" t="str">
        <f>Cable!AC93</f>
        <v> 57.20  </v>
      </c>
    </row>
    <row r="98" spans="3:27" ht="11.25">
      <c r="C98" s="115" t="str">
        <f>Cable!C94</f>
        <v>3cX 500  </v>
      </c>
      <c r="D98" s="115">
        <f>Cable!D94</f>
        <v>0.09</v>
      </c>
      <c r="E98" s="115">
        <f>Cable!E94</f>
        <v>0.086</v>
      </c>
      <c r="F98" s="115">
        <f>Cable!F94</f>
        <v>0.0592</v>
      </c>
      <c r="G98" s="115">
        <f>Cable!G94</f>
        <v>0.086</v>
      </c>
      <c r="H98" s="115" t="str">
        <f>Cable!H94</f>
        <v> 370  </v>
      </c>
      <c r="I98" s="115" t="str">
        <f>Cable!I94</f>
        <v> 320  </v>
      </c>
      <c r="J98" s="115" t="str">
        <f>Cable!J94</f>
        <v> 425  </v>
      </c>
      <c r="K98" s="115" t="str">
        <f>Cable!K94</f>
        <v> 470  </v>
      </c>
      <c r="L98" s="115" t="str">
        <f>Cable!L94</f>
        <v> 390  </v>
      </c>
      <c r="M98" s="115" t="str">
        <f>Cable!M94</f>
        <v> 520  </v>
      </c>
      <c r="N98" s="115" t="str">
        <f>Cable!N94</f>
        <v> 38.00  </v>
      </c>
      <c r="O98" s="115" t="str">
        <f>Cable!O94</f>
        <v> 57.500  </v>
      </c>
      <c r="P98" s="114">
        <f>Cable!R94</f>
        <v>0.1</v>
      </c>
      <c r="Q98" s="114">
        <f>Cable!S94</f>
        <v>0.07</v>
      </c>
      <c r="R98" s="114">
        <f>Cable!T94</f>
        <v>0.0602</v>
      </c>
      <c r="S98" s="114">
        <f>Cable!U94</f>
        <v>0.07</v>
      </c>
      <c r="T98" s="114" t="str">
        <f>Cable!V94</f>
        <v> 481  </v>
      </c>
      <c r="U98" s="114" t="str">
        <f>Cable!W94</f>
        <v> 405  </v>
      </c>
      <c r="V98" s="114" t="str">
        <f>Cable!X94</f>
        <v> 624  </v>
      </c>
      <c r="W98" s="114" t="str">
        <f>Cable!Y94</f>
        <v> 580  </v>
      </c>
      <c r="X98" s="114" t="str">
        <f>Cable!Z94</f>
        <v> 480  </v>
      </c>
      <c r="Y98" s="114" t="str">
        <f>Cable!AA94</f>
        <v> 750  </v>
      </c>
      <c r="Z98" s="114" t="str">
        <f>Cable!AB94</f>
        <v> 47.00  </v>
      </c>
      <c r="AA98" s="114" t="str">
        <f>Cable!AC94</f>
        <v> 71.50  </v>
      </c>
    </row>
    <row r="99" spans="3:27" ht="11.25">
      <c r="C99" s="115" t="str">
        <f>Cable!C95</f>
        <v>3cX 630  </v>
      </c>
      <c r="D99" s="115">
        <f>Cable!D95</f>
        <v>0.09</v>
      </c>
      <c r="E99" s="115">
        <f>Cable!E95</f>
        <v>0.086</v>
      </c>
      <c r="F99" s="115">
        <f>Cable!F95</f>
        <v>0.0592</v>
      </c>
      <c r="G99" s="115">
        <f>Cable!G95</f>
        <v>0.086</v>
      </c>
      <c r="H99" s="115" t="str">
        <f>Cable!H95</f>
        <v> 405  </v>
      </c>
      <c r="I99" s="115" t="str">
        <f>Cable!I95</f>
        <v> 350  </v>
      </c>
      <c r="J99" s="115" t="str">
        <f>Cable!J95</f>
        <v> 480  </v>
      </c>
      <c r="K99" s="115" t="str">
        <f>Cable!K95</f>
        <v> 555  </v>
      </c>
      <c r="L99" s="115" t="str">
        <f>Cable!L95</f>
        <v> 470  </v>
      </c>
      <c r="M99" s="115" t="str">
        <f>Cable!M95</f>
        <v> 675  </v>
      </c>
      <c r="N99" s="115" t="str">
        <f>Cable!N95</f>
        <v> 47.90  </v>
      </c>
      <c r="O99" s="115" t="str">
        <f>Cable!O95</f>
        <v> 72.500  </v>
      </c>
      <c r="P99" s="114">
        <f>Cable!R95</f>
        <v>0.1</v>
      </c>
      <c r="Q99" s="114">
        <f>Cable!S95</f>
        <v>0.07</v>
      </c>
      <c r="R99" s="114">
        <f>Cable!T95</f>
        <v>0.0602</v>
      </c>
      <c r="S99" s="114">
        <f>Cable!U95</f>
        <v>0.07</v>
      </c>
      <c r="T99" s="114" t="str">
        <f>Cable!V95</f>
        <v> 537  </v>
      </c>
      <c r="U99" s="114" t="str">
        <f>Cable!W95</f>
        <v> 470  </v>
      </c>
      <c r="V99" s="114" t="str">
        <f>Cable!X95</f>
        <v> 723  </v>
      </c>
      <c r="W99" s="114" t="str">
        <f>Cable!Y95</f>
        <v> 680  </v>
      </c>
      <c r="X99" s="114" t="str">
        <f>Cable!Z95</f>
        <v> 575  </v>
      </c>
      <c r="Y99" s="114" t="str">
        <f>Cable!AA95</f>
        <v> 875  </v>
      </c>
      <c r="Z99" s="114" t="str">
        <f>Cable!AB95</f>
        <v> 59.22  </v>
      </c>
      <c r="AA99" s="114" t="str">
        <f>Cable!AC95</f>
        <v> 90.09  </v>
      </c>
    </row>
    <row r="100" spans="3:27" ht="11.25">
      <c r="C100" s="115" t="str">
        <f>Cable!C96</f>
        <v> 3.5X16</v>
      </c>
      <c r="D100" s="115">
        <f>Cable!D96</f>
        <v>1.44</v>
      </c>
      <c r="E100" s="115">
        <f>Cable!E96</f>
        <v>0.097</v>
      </c>
      <c r="F100" s="115">
        <f>Cable!F96</f>
        <v>0.73</v>
      </c>
      <c r="G100" s="115">
        <f>Cable!G96</f>
        <v>0.097</v>
      </c>
      <c r="H100" s="115">
        <f>Cable!H96</f>
        <v>70</v>
      </c>
      <c r="I100" s="115">
        <f>Cable!I96</f>
        <v>65</v>
      </c>
      <c r="J100" s="115">
        <f>Cable!J96</f>
        <v>62</v>
      </c>
      <c r="K100" s="115">
        <f>Cable!K96</f>
        <v>99</v>
      </c>
      <c r="L100" s="115">
        <f>Cable!L96</f>
        <v>81</v>
      </c>
      <c r="M100" s="115">
        <f>Cable!M96</f>
        <v>90</v>
      </c>
      <c r="N100" s="115">
        <f>Cable!N96</f>
        <v>1.8</v>
      </c>
      <c r="O100" s="115">
        <f>Cable!O96</f>
        <v>2.5</v>
      </c>
      <c r="P100" s="114" t="str">
        <f>Cable!R96</f>
        <v> —  </v>
      </c>
      <c r="Q100" s="114" t="str">
        <f>Cable!S96</f>
        <v> —  </v>
      </c>
      <c r="R100" s="114" t="str">
        <f>Cable!T96</f>
        <v> —  </v>
      </c>
      <c r="S100" s="114" t="str">
        <f>Cable!U96</f>
        <v> —  </v>
      </c>
      <c r="T100" s="114" t="str">
        <f>Cable!V96</f>
        <v> —  </v>
      </c>
      <c r="U100" s="114" t="str">
        <f>Cable!W96</f>
        <v> —  </v>
      </c>
      <c r="V100" s="114" t="str">
        <f>Cable!X96</f>
        <v> —  </v>
      </c>
      <c r="W100" s="114" t="str">
        <f>Cable!Y96</f>
        <v> —  </v>
      </c>
      <c r="X100" s="114" t="str">
        <f>Cable!Z96</f>
        <v> —  </v>
      </c>
      <c r="Y100" s="114" t="str">
        <f>Cable!AA96</f>
        <v> —  </v>
      </c>
      <c r="Z100" s="114" t="str">
        <f>Cable!AB96</f>
        <v> —  </v>
      </c>
      <c r="AA100" s="114" t="str">
        <f>Cable!AC96</f>
        <v> —  </v>
      </c>
    </row>
    <row r="101" spans="3:27" ht="11.25">
      <c r="C101" s="115" t="str">
        <f>Cable!C97</f>
        <v> 3.5X25</v>
      </c>
      <c r="D101" s="115">
        <f>Cable!D97</f>
        <v>0.77</v>
      </c>
      <c r="E101" s="115">
        <f>Cable!E97</f>
        <v>0.094</v>
      </c>
      <c r="F101" s="115">
        <f>Cable!F97</f>
        <v>0.387</v>
      </c>
      <c r="G101" s="115" t="str">
        <f>Cable!G97</f>
        <v>.0.094</v>
      </c>
      <c r="H101" s="115" t="str">
        <f>Cable!H97</f>
        <v> 76  </v>
      </c>
      <c r="I101" s="115" t="str">
        <f>Cable!I97</f>
        <v> 63  </v>
      </c>
      <c r="J101" s="115" t="str">
        <f>Cable!J97</f>
        <v> 70  </v>
      </c>
      <c r="K101" s="115" t="str">
        <f>Cable!K97</f>
        <v> 99  </v>
      </c>
      <c r="L101" s="115" t="str">
        <f>Cable!L97</f>
        <v> 81  </v>
      </c>
      <c r="M101" s="115" t="str">
        <f>Cable!M97</f>
        <v> 90  </v>
      </c>
      <c r="N101" s="115" t="str">
        <f>Cable!N97</f>
        <v> 1.90  </v>
      </c>
      <c r="O101" s="115" t="str">
        <f>Cable!O97</f>
        <v> 2.88  </v>
      </c>
      <c r="P101" s="114">
        <f>Cable!R97</f>
        <v>1.54</v>
      </c>
      <c r="Q101" s="114">
        <f>Cable!S97</f>
        <v>0.08</v>
      </c>
      <c r="R101" s="114">
        <f>Cable!T97</f>
        <v>0.93</v>
      </c>
      <c r="S101" s="114">
        <f>Cable!U97</f>
        <v>0.08</v>
      </c>
      <c r="T101" s="114" t="str">
        <f>Cable!V97</f>
        <v> 95  </v>
      </c>
      <c r="U101" s="114" t="str">
        <f>Cable!W97</f>
        <v> 80  </v>
      </c>
      <c r="V101" s="114" t="str">
        <f>Cable!X97</f>
        <v> 99  </v>
      </c>
      <c r="W101" s="114" t="str">
        <f>Cable!Y97</f>
        <v> 120  </v>
      </c>
      <c r="X101" s="114" t="str">
        <f>Cable!Z97</f>
        <v> 100  </v>
      </c>
      <c r="Y101" s="114" t="str">
        <f>Cable!AA97</f>
        <v> 125  </v>
      </c>
      <c r="Z101" s="114" t="str">
        <f>Cable!AB97</f>
        <v> 2.35  </v>
      </c>
      <c r="AA101" s="114" t="str">
        <f>Cable!AC97</f>
        <v> 3.58  </v>
      </c>
    </row>
    <row r="102" spans="3:27" ht="11.25">
      <c r="C102" s="115" t="str">
        <f>Cable!C98</f>
        <v> 3.5X35</v>
      </c>
      <c r="D102" s="115">
        <f>Cable!D98</f>
        <v>0.53</v>
      </c>
      <c r="E102" s="115">
        <f>Cable!E98</f>
        <v>0.09</v>
      </c>
      <c r="F102" s="115">
        <f>Cable!F98</f>
        <v>0.268</v>
      </c>
      <c r="G102" s="115">
        <f>Cable!G98</f>
        <v>0.09</v>
      </c>
      <c r="H102" s="115" t="str">
        <f>Cable!H98</f>
        <v> 92  </v>
      </c>
      <c r="I102" s="115" t="str">
        <f>Cable!I98</f>
        <v> 77  </v>
      </c>
      <c r="J102" s="115" t="str">
        <f>Cable!J98</f>
        <v> 86  </v>
      </c>
      <c r="K102" s="115" t="str">
        <f>Cable!K98</f>
        <v> 120  </v>
      </c>
      <c r="L102" s="115" t="str">
        <f>Cable!L98</f>
        <v> 99  </v>
      </c>
      <c r="M102" s="115" t="str">
        <f>Cable!M98</f>
        <v> 110  </v>
      </c>
      <c r="N102" s="115" t="str">
        <f>Cable!N98</f>
        <v> 2.66  </v>
      </c>
      <c r="O102" s="115" t="str">
        <f>Cable!O98</f>
        <v> 4.03  </v>
      </c>
      <c r="P102" s="114">
        <f>Cable!R98</f>
        <v>1.11</v>
      </c>
      <c r="Q102" s="114">
        <f>Cable!S98</f>
        <v>0.08</v>
      </c>
      <c r="R102" s="114">
        <f>Cable!T98</f>
        <v>0.671</v>
      </c>
      <c r="S102" s="114">
        <f>Cable!U98</f>
        <v>0.08</v>
      </c>
      <c r="T102" s="114" t="str">
        <f>Cable!V98</f>
        <v> 116  </v>
      </c>
      <c r="U102" s="114" t="str">
        <f>Cable!W98</f>
        <v> 94  </v>
      </c>
      <c r="V102" s="114" t="str">
        <f>Cable!X98</f>
        <v> 117  </v>
      </c>
      <c r="W102" s="114" t="str">
        <f>Cable!Y98</f>
        <v> 145  </v>
      </c>
      <c r="X102" s="114" t="str">
        <f>Cable!Z98</f>
        <v> 120  </v>
      </c>
      <c r="Y102" s="114" t="str">
        <f>Cable!AA98</f>
        <v> 155  </v>
      </c>
      <c r="Z102" s="114" t="str">
        <f>Cable!AB98</f>
        <v> 3.29  </v>
      </c>
      <c r="AA102" s="114" t="str">
        <f>Cable!AC98</f>
        <v> 5.01  </v>
      </c>
    </row>
    <row r="103" spans="3:27" ht="11.25">
      <c r="C103" s="115" t="str">
        <f>Cable!C99</f>
        <v> 3.5X50</v>
      </c>
      <c r="D103" s="115">
        <f>Cable!D99</f>
        <v>0.38</v>
      </c>
      <c r="E103" s="115">
        <f>Cable!E99</f>
        <v>0.09</v>
      </c>
      <c r="F103" s="115">
        <f>Cable!F99</f>
        <v>0.193</v>
      </c>
      <c r="G103" s="115">
        <f>Cable!G99</f>
        <v>0.09</v>
      </c>
      <c r="H103" s="115" t="str">
        <f>Cable!H99</f>
        <v> 110  </v>
      </c>
      <c r="I103" s="115" t="str">
        <f>Cable!I99</f>
        <v> 95  </v>
      </c>
      <c r="J103" s="115" t="str">
        <f>Cable!J99</f>
        <v> 105  </v>
      </c>
      <c r="K103" s="115" t="str">
        <f>Cable!K99</f>
        <v> 145  </v>
      </c>
      <c r="L103" s="115" t="str">
        <f>Cable!L99</f>
        <v> 125  </v>
      </c>
      <c r="M103" s="115" t="str">
        <f>Cable!M99</f>
        <v> 135  </v>
      </c>
      <c r="N103" s="115" t="str">
        <f>Cable!N99</f>
        <v> 3.80  </v>
      </c>
      <c r="O103" s="115" t="str">
        <f>Cable!O99</f>
        <v> 5.75  </v>
      </c>
      <c r="P103" s="114">
        <f>Cable!R99</f>
        <v>0.82</v>
      </c>
      <c r="Q103" s="114">
        <f>Cable!S99</f>
        <v>0.078</v>
      </c>
      <c r="R103" s="114">
        <f>Cable!T99</f>
        <v>0.0495</v>
      </c>
      <c r="S103" s="114">
        <f>Cable!U99</f>
        <v>0.078</v>
      </c>
      <c r="T103" s="114" t="str">
        <f>Cable!V99</f>
        <v> 140  </v>
      </c>
      <c r="U103" s="114" t="str">
        <f>Cable!W99</f>
        <v> 110  </v>
      </c>
      <c r="V103" s="114" t="str">
        <f>Cable!X99</f>
        <v> 140  </v>
      </c>
      <c r="W103" s="114" t="str">
        <f>Cable!Y99</f>
        <v> 170  </v>
      </c>
      <c r="X103" s="114" t="str">
        <f>Cable!Z99</f>
        <v> 145  </v>
      </c>
      <c r="Y103" s="114" t="str">
        <f>Cable!AA99</f>
        <v> 190  </v>
      </c>
      <c r="Z103" s="114" t="str">
        <f>Cable!AB99</f>
        <v> 4.70  </v>
      </c>
      <c r="AA103" s="114" t="str">
        <f>Cable!AC99</f>
        <v> 7.15  </v>
      </c>
    </row>
    <row r="104" spans="3:27" ht="11.25">
      <c r="C104" s="115" t="str">
        <f>Cable!C100</f>
        <v> 3.5X70</v>
      </c>
      <c r="D104" s="115">
        <f>Cable!D100</f>
        <v>0.3</v>
      </c>
      <c r="E104" s="115">
        <f>Cable!E100</f>
        <v>0.087</v>
      </c>
      <c r="F104" s="115">
        <f>Cable!F100</f>
        <v>0.153</v>
      </c>
      <c r="G104" s="115">
        <f>Cable!G100</f>
        <v>0.087</v>
      </c>
      <c r="H104" s="115" t="str">
        <f>Cable!H100</f>
        <v> 135  </v>
      </c>
      <c r="I104" s="115" t="str">
        <f>Cable!I100</f>
        <v> 115  </v>
      </c>
      <c r="J104" s="115" t="str">
        <f>Cable!J100</f>
        <v> 130  </v>
      </c>
      <c r="K104" s="115" t="str">
        <f>Cable!K100</f>
        <v> 175  </v>
      </c>
      <c r="L104" s="115" t="str">
        <f>Cable!L100</f>
        <v> 150  </v>
      </c>
      <c r="M104" s="115" t="str">
        <f>Cable!M100</f>
        <v> 165  </v>
      </c>
      <c r="N104" s="115" t="str">
        <f>Cable!N100</f>
        <v> 5.32  </v>
      </c>
      <c r="O104" s="115" t="str">
        <f>Cable!O100</f>
        <v> 8.05  </v>
      </c>
      <c r="P104" s="114">
        <f>Cable!R100</f>
        <v>0.57</v>
      </c>
      <c r="Q104" s="114">
        <f>Cable!S100</f>
        <v>0.077</v>
      </c>
      <c r="R104" s="114">
        <f>Cable!T100</f>
        <v>0.343</v>
      </c>
      <c r="S104" s="114">
        <f>Cable!U100</f>
        <v>0.077</v>
      </c>
      <c r="T104" s="114" t="str">
        <f>Cable!V100</f>
        <v> 170  </v>
      </c>
      <c r="U104" s="114" t="str">
        <f>Cable!W100</f>
        <v> 140  </v>
      </c>
      <c r="V104" s="114" t="str">
        <f>Cable!X100</f>
        <v> 176  </v>
      </c>
      <c r="W104" s="114" t="str">
        <f>Cable!Y100</f>
        <v> 210  </v>
      </c>
      <c r="X104" s="114" t="str">
        <f>Cable!Z100</f>
        <v> 175  </v>
      </c>
      <c r="Y104" s="114" t="str">
        <f>Cable!AA100</f>
        <v> 235  </v>
      </c>
      <c r="Z104" s="114" t="str">
        <f>Cable!AB100</f>
        <v> 6.58  </v>
      </c>
      <c r="AA104" s="114" t="str">
        <f>Cable!AC100</f>
        <v> 10.01  </v>
      </c>
    </row>
    <row r="105" spans="3:27" ht="11.25">
      <c r="C105" s="115" t="str">
        <f>Cable!C101</f>
        <v> 3.5X95</v>
      </c>
      <c r="D105" s="115">
        <f>Cable!D101</f>
        <v>0.2</v>
      </c>
      <c r="E105" s="115">
        <f>Cable!E101</f>
        <v>0.087</v>
      </c>
      <c r="F105" s="115">
        <f>Cable!F101</f>
        <v>0.099</v>
      </c>
      <c r="G105" s="115">
        <f>Cable!G101</f>
        <v>0.087</v>
      </c>
      <c r="H105" s="115" t="str">
        <f>Cable!H101</f>
        <v> 165  </v>
      </c>
      <c r="I105" s="115" t="str">
        <f>Cable!I101</f>
        <v> 140  </v>
      </c>
      <c r="J105" s="115" t="str">
        <f>Cable!J101</f>
        <v> 155  </v>
      </c>
      <c r="K105" s="115" t="str">
        <f>Cable!K101</f>
        <v> 210  </v>
      </c>
      <c r="L105" s="115" t="str">
        <f>Cable!L101</f>
        <v> 175  </v>
      </c>
      <c r="M105" s="115" t="str">
        <f>Cable!M101</f>
        <v> 200  </v>
      </c>
      <c r="N105" s="115" t="str">
        <f>Cable!N101</f>
        <v> 7.22  </v>
      </c>
      <c r="O105" s="115" t="str">
        <f>Cable!O101</f>
        <v> 10.90  </v>
      </c>
      <c r="P105" s="114">
        <f>Cable!R101</f>
        <v>0.41</v>
      </c>
      <c r="Q105" s="114">
        <f>Cable!S101</f>
        <v>0.074</v>
      </c>
      <c r="R105" s="114">
        <f>Cable!T101</f>
        <v>0.247</v>
      </c>
      <c r="S105" s="114">
        <f>Cable!U101</f>
        <v>0.074</v>
      </c>
      <c r="T105" s="114" t="str">
        <f>Cable!V101</f>
        <v> 200  </v>
      </c>
      <c r="U105" s="114" t="str">
        <f>Cable!W101</f>
        <v> 165  </v>
      </c>
      <c r="V105" s="114" t="str">
        <f>Cable!X101</f>
        <v> 221  </v>
      </c>
      <c r="W105" s="114" t="str">
        <f>Cable!Y101</f>
        <v> 250  </v>
      </c>
      <c r="X105" s="114" t="str">
        <f>Cable!Z101</f>
        <v> 210  </v>
      </c>
      <c r="Y105" s="114" t="str">
        <f>Cable!AA101</f>
        <v> 290  </v>
      </c>
      <c r="Z105" s="114" t="str">
        <f>Cable!AB101</f>
        <v> 8.93  </v>
      </c>
      <c r="AA105" s="114" t="str">
        <f>Cable!AC101</f>
        <v> 13.59  </v>
      </c>
    </row>
    <row r="106" spans="3:27" ht="11.25">
      <c r="C106" s="115" t="str">
        <f>Cable!C102</f>
        <v> 3.5X120</v>
      </c>
      <c r="D106" s="115">
        <f>Cable!D102</f>
        <v>0.15</v>
      </c>
      <c r="E106" s="115">
        <f>Cable!E102</f>
        <v>0.087</v>
      </c>
      <c r="F106" s="115">
        <f>Cable!F102</f>
        <v>0.075</v>
      </c>
      <c r="G106" s="115">
        <f>Cable!G102</f>
        <v>0.087</v>
      </c>
      <c r="H106" s="115" t="str">
        <f>Cable!H102</f>
        <v> 185  </v>
      </c>
      <c r="I106" s="115" t="str">
        <f>Cable!I102</f>
        <v> 155  </v>
      </c>
      <c r="J106" s="115" t="str">
        <f>Cable!J102</f>
        <v> 180  </v>
      </c>
      <c r="K106" s="115" t="str">
        <f>Cable!K102</f>
        <v> 240  </v>
      </c>
      <c r="L106" s="115" t="str">
        <f>Cable!L102</f>
        <v> 195  </v>
      </c>
      <c r="M106" s="115" t="str">
        <f>Cable!M102</f>
        <v> 230  </v>
      </c>
      <c r="N106" s="115" t="str">
        <f>Cable!N102</f>
        <v> 9.12  </v>
      </c>
      <c r="O106" s="115" t="str">
        <f>Cable!O102</f>
        <v> 13.80  </v>
      </c>
      <c r="P106" s="114">
        <f>Cable!R102</f>
        <v>0.33</v>
      </c>
      <c r="Q106" s="114">
        <f>Cable!S102</f>
        <v>0.072</v>
      </c>
      <c r="R106" s="114">
        <f>Cable!T102</f>
        <v>0.196</v>
      </c>
      <c r="S106" s="114">
        <f>Cable!U102</f>
        <v>0.072</v>
      </c>
      <c r="T106" s="114" t="str">
        <f>Cable!V102</f>
        <v> 225  </v>
      </c>
      <c r="U106" s="114" t="str">
        <f>Cable!W102</f>
        <v> 185  </v>
      </c>
      <c r="V106" s="114" t="str">
        <f>Cable!X102</f>
        <v> 258  </v>
      </c>
      <c r="W106" s="114" t="str">
        <f>Cable!Y102</f>
        <v> 285  </v>
      </c>
      <c r="X106" s="114" t="str">
        <f>Cable!Z102</f>
        <v> 240  </v>
      </c>
      <c r="Y106" s="114" t="str">
        <f>Cable!AA102</f>
        <v> 330  </v>
      </c>
      <c r="Z106" s="114" t="str">
        <f>Cable!AB102</f>
        <v> 11.28  </v>
      </c>
      <c r="AA106" s="114" t="str">
        <f>Cable!AC102</f>
        <v> 17.16  </v>
      </c>
    </row>
    <row r="107" spans="3:27" ht="11.25">
      <c r="C107" s="115" t="str">
        <f>Cable!C103</f>
        <v> 3.5X150</v>
      </c>
      <c r="D107" s="115">
        <f>Cable!D103</f>
        <v>0.12</v>
      </c>
      <c r="E107" s="115">
        <f>Cable!E103</f>
        <v>0.086</v>
      </c>
      <c r="F107" s="115">
        <f>Cable!F103</f>
        <v>0.06</v>
      </c>
      <c r="G107" s="115">
        <f>Cable!G103</f>
        <v>0.086</v>
      </c>
      <c r="H107" s="115" t="str">
        <f>Cable!H103</f>
        <v> 210  </v>
      </c>
      <c r="I107" s="115" t="str">
        <f>Cable!I103</f>
        <v> 175  </v>
      </c>
      <c r="J107" s="115" t="str">
        <f>Cable!J103</f>
        <v> 205  </v>
      </c>
      <c r="K107" s="115" t="str">
        <f>Cable!K103</f>
        <v> 270  </v>
      </c>
      <c r="L107" s="115" t="str">
        <f>Cable!L103</f>
        <v> 225  </v>
      </c>
      <c r="M107" s="115" t="str">
        <f>Cable!M103</f>
        <v> 265  </v>
      </c>
      <c r="N107" s="115" t="str">
        <f>Cable!N103</f>
        <v> 11.40  </v>
      </c>
      <c r="O107" s="115" t="str">
        <f>Cable!O103</f>
        <v> 17.30  </v>
      </c>
      <c r="P107" s="114">
        <f>Cable!R103</f>
        <v>0.27</v>
      </c>
      <c r="Q107" s="114">
        <f>Cable!S103</f>
        <v>0.072</v>
      </c>
      <c r="R107" s="114">
        <f>Cable!T103</f>
        <v>0.159</v>
      </c>
      <c r="S107" s="114">
        <f>Cable!U103</f>
        <v>0.072</v>
      </c>
      <c r="T107" s="114" t="str">
        <f>Cable!V103</f>
        <v> 255  </v>
      </c>
      <c r="U107" s="114" t="str">
        <f>Cable!W103</f>
        <v> 210  </v>
      </c>
      <c r="V107" s="114" t="str">
        <f>Cable!X103</f>
        <v> 294  </v>
      </c>
      <c r="W107" s="114" t="str">
        <f>Cable!Y103</f>
        <v> 315  </v>
      </c>
      <c r="X107" s="114" t="str">
        <f>Cable!Z103</f>
        <v> 270  </v>
      </c>
      <c r="Y107" s="114" t="str">
        <f>Cable!AA103</f>
        <v> 375  </v>
      </c>
      <c r="Z107" s="114" t="str">
        <f>Cable!AB103</f>
        <v> 14.10  </v>
      </c>
      <c r="AA107" s="114" t="str">
        <f>Cable!AC103</f>
        <v> 21.45  </v>
      </c>
    </row>
    <row r="108" spans="3:27" ht="11.25">
      <c r="C108" s="115" t="str">
        <f>Cable!C104</f>
        <v> 3.5X185</v>
      </c>
      <c r="D108" s="115">
        <f>Cable!D104</f>
        <v>0.09</v>
      </c>
      <c r="E108" s="115">
        <f>Cable!E104</f>
        <v>0.086</v>
      </c>
      <c r="F108" s="115">
        <f>Cable!F104</f>
        <v>0.047</v>
      </c>
      <c r="G108" s="115">
        <f>Cable!G104</f>
        <v>0.086</v>
      </c>
      <c r="H108" s="115" t="str">
        <f>Cable!H104</f>
        <v> 235  </v>
      </c>
      <c r="I108" s="115" t="str">
        <f>Cable!I104</f>
        <v> 200  </v>
      </c>
      <c r="J108" s="115" t="str">
        <f>Cable!J104</f>
        <v> 240  </v>
      </c>
      <c r="K108" s="115" t="str">
        <f>Cable!K104</f>
        <v> 300  </v>
      </c>
      <c r="L108" s="115" t="str">
        <f>Cable!L104</f>
        <v> 255  </v>
      </c>
      <c r="M108" s="115" t="str">
        <f>Cable!M104</f>
        <v> 305  </v>
      </c>
      <c r="N108" s="115" t="str">
        <f>Cable!N104</f>
        <v> 14.10  </v>
      </c>
      <c r="O108" s="115" t="str">
        <f>Cable!O104</f>
        <v> 21.30  </v>
      </c>
      <c r="P108" s="114">
        <f>Cable!R104</f>
        <v>0.21</v>
      </c>
      <c r="Q108" s="114">
        <f>Cable!S104</f>
        <v>0.072</v>
      </c>
      <c r="R108" s="114">
        <f>Cable!T104</f>
        <v>0.127</v>
      </c>
      <c r="S108" s="114">
        <f>Cable!U104</f>
        <v>0.072</v>
      </c>
      <c r="T108" s="114" t="str">
        <f>Cable!V104</f>
        <v> 285  </v>
      </c>
      <c r="U108" s="114" t="str">
        <f>Cable!W104</f>
        <v> 235  </v>
      </c>
      <c r="V108" s="114" t="str">
        <f>Cable!X104</f>
        <v> 339  </v>
      </c>
      <c r="W108" s="114" t="str">
        <f>Cable!Y104</f>
        <v> 355  </v>
      </c>
      <c r="X108" s="114" t="str">
        <f>Cable!Z104</f>
        <v> 300  </v>
      </c>
      <c r="Y108" s="114" t="str">
        <f>Cable!AA104</f>
        <v> 435  </v>
      </c>
      <c r="Z108" s="114" t="str">
        <f>Cable!AB104</f>
        <v> 17.39  </v>
      </c>
      <c r="AA108" s="114" t="str">
        <f>Cable!AC104</f>
        <v> 26.46  </v>
      </c>
    </row>
    <row r="109" spans="3:27" ht="11.25">
      <c r="C109" s="115" t="str">
        <f>Cable!C105</f>
        <v> 3.5X240</v>
      </c>
      <c r="D109" s="115">
        <f>Cable!D105</f>
        <v>0.08</v>
      </c>
      <c r="E109" s="115">
        <f>Cable!E105</f>
        <v>0.085</v>
      </c>
      <c r="F109" s="115">
        <f>Cable!F105</f>
        <v>0.046</v>
      </c>
      <c r="G109" s="115">
        <f>Cable!G105</f>
        <v>0.085</v>
      </c>
      <c r="H109" s="115" t="str">
        <f>Cable!H105</f>
        <v> 275  </v>
      </c>
      <c r="I109" s="115" t="str">
        <f>Cable!I105</f>
        <v> 235  </v>
      </c>
      <c r="J109" s="115" t="str">
        <f>Cable!J105</f>
        <v> 280  </v>
      </c>
      <c r="K109" s="115" t="str">
        <f>Cable!K105</f>
        <v> 345  </v>
      </c>
      <c r="L109" s="115" t="str">
        <f>Cable!L105</f>
        <v> 295  </v>
      </c>
      <c r="M109" s="115" t="str">
        <f>Cable!M105</f>
        <v> 355  </v>
      </c>
      <c r="N109" s="115" t="str">
        <f>Cable!N105</f>
        <v> 18.20  </v>
      </c>
      <c r="O109" s="115" t="str">
        <f>Cable!O105</f>
        <v> 27.60  </v>
      </c>
      <c r="P109" s="114">
        <f>Cable!R105</f>
        <v>0.16</v>
      </c>
      <c r="Q109" s="114">
        <f>Cable!S105</f>
        <v>0.072</v>
      </c>
      <c r="R109" s="114">
        <f>Cable!T105</f>
        <v>0.0965</v>
      </c>
      <c r="S109" s="114">
        <f>Cable!U105</f>
        <v>0.072</v>
      </c>
      <c r="T109" s="114" t="str">
        <f>Cable!V105</f>
        <v> 325  </v>
      </c>
      <c r="U109" s="114" t="str">
        <f>Cable!W105</f>
        <v> 270  </v>
      </c>
      <c r="V109" s="114" t="str">
        <f>Cable!X105</f>
        <v> 402  </v>
      </c>
      <c r="W109" s="114" t="str">
        <f>Cable!Y105</f>
        <v> 410  </v>
      </c>
      <c r="X109" s="114" t="str">
        <f>Cable!Z105</f>
        <v> 350  </v>
      </c>
      <c r="Y109" s="114" t="str">
        <f>Cable!AA105</f>
        <v> 510  </v>
      </c>
      <c r="Z109" s="114" t="str">
        <f>Cable!AB105</f>
        <v> 22.56  </v>
      </c>
      <c r="AA109" s="114" t="str">
        <f>Cable!AC105</f>
        <v> 34.32  </v>
      </c>
    </row>
    <row r="110" spans="3:27" ht="11.25">
      <c r="C110" s="115" t="str">
        <f>Cable!C106</f>
        <v> 3.5X300</v>
      </c>
      <c r="D110" s="115">
        <f>Cable!D106</f>
        <v>0.08</v>
      </c>
      <c r="E110" s="115">
        <f>Cable!E106</f>
        <v>0.085</v>
      </c>
      <c r="F110" s="115">
        <f>Cable!F106</f>
        <v>0.046</v>
      </c>
      <c r="G110" s="115">
        <f>Cable!G106</f>
        <v>0.085</v>
      </c>
      <c r="H110" s="115" t="str">
        <f>Cable!H106</f>
        <v> 305  </v>
      </c>
      <c r="I110" s="115" t="str">
        <f>Cable!I106</f>
        <v> 260  </v>
      </c>
      <c r="J110" s="115" t="str">
        <f>Cable!J106</f>
        <v> 315  </v>
      </c>
      <c r="K110" s="115" t="str">
        <f>Cable!K106</f>
        <v> 385  </v>
      </c>
      <c r="L110" s="115" t="str">
        <f>Cable!L106</f>
        <v> 335  </v>
      </c>
      <c r="M110" s="115" t="str">
        <f>Cable!M106</f>
        <v> 400  </v>
      </c>
      <c r="N110" s="115" t="str">
        <f>Cable!N106</f>
        <v> 22.80  </v>
      </c>
      <c r="O110" s="115" t="str">
        <f>Cable!O106</f>
        <v> 34.50  </v>
      </c>
      <c r="P110" s="114">
        <f>Cable!R106</f>
        <v>0.13</v>
      </c>
      <c r="Q110" s="114">
        <f>Cable!S106</f>
        <v>0.071</v>
      </c>
      <c r="R110" s="114">
        <f>Cable!T106</f>
        <v>0.0769</v>
      </c>
      <c r="S110" s="114">
        <f>Cable!U106</f>
        <v>0.071</v>
      </c>
      <c r="T110" s="114" t="str">
        <f>Cable!V106</f>
        <v> 370  </v>
      </c>
      <c r="U110" s="114" t="str">
        <f>Cable!W106</f>
        <v> 305  </v>
      </c>
      <c r="V110" s="114" t="str">
        <f>Cable!X106</f>
        <v> 461  </v>
      </c>
      <c r="W110" s="114" t="str">
        <f>Cable!Y106</f>
        <v> 460  </v>
      </c>
      <c r="X110" s="114" t="str">
        <f>Cable!Z106</f>
        <v> 390  </v>
      </c>
      <c r="Y110" s="114" t="str">
        <f>Cable!AA106</f>
        <v> 590  </v>
      </c>
      <c r="Z110" s="114" t="str">
        <f>Cable!AB106</f>
        <v> 28.20  </v>
      </c>
      <c r="AA110" s="114" t="str">
        <f>Cable!AC106</f>
        <v> 42.90  </v>
      </c>
    </row>
    <row r="111" spans="3:27" ht="11.25">
      <c r="C111" s="115" t="str">
        <f>Cable!C107</f>
        <v> 3.5X400</v>
      </c>
      <c r="D111" s="115">
        <f>Cable!D107</f>
        <v>0.08</v>
      </c>
      <c r="E111" s="115">
        <f>Cable!E107</f>
        <v>0.084</v>
      </c>
      <c r="F111" s="115">
        <f>Cable!F107</f>
        <v>0.045</v>
      </c>
      <c r="G111" s="115">
        <f>Cable!G107</f>
        <v>0.084</v>
      </c>
      <c r="H111" s="115" t="str">
        <f>Cable!H107</f>
        <v> 335  </v>
      </c>
      <c r="I111" s="115" t="str">
        <f>Cable!I107</f>
        <v> 290  </v>
      </c>
      <c r="J111" s="115" t="str">
        <f>Cable!J107</f>
        <v> 375  </v>
      </c>
      <c r="K111" s="115" t="str">
        <f>Cable!K107</f>
        <v> 425  </v>
      </c>
      <c r="L111" s="115" t="str">
        <f>Cable!L107</f>
        <v> 360  </v>
      </c>
      <c r="M111" s="115" t="str">
        <f>Cable!M107</f>
        <v> 435  </v>
      </c>
      <c r="N111" s="115" t="str">
        <f>Cable!N107</f>
        <v> 30.40  </v>
      </c>
      <c r="O111" s="115" t="str">
        <f>Cable!O107</f>
        <v> 46.00  </v>
      </c>
      <c r="P111" s="114">
        <f>Cable!R107</f>
        <v>0.1</v>
      </c>
      <c r="Q111" s="114">
        <f>Cable!S107</f>
        <v>0.07</v>
      </c>
      <c r="R111" s="114">
        <f>Cable!T107</f>
        <v>0.0602</v>
      </c>
      <c r="S111" s="114">
        <f>Cable!U107</f>
        <v>0.07</v>
      </c>
      <c r="T111" s="114" t="str">
        <f>Cable!V107</f>
        <v> 435  </v>
      </c>
      <c r="U111" s="114" t="str">
        <f>Cable!W107</f>
        <v> 350  </v>
      </c>
      <c r="V111" s="114" t="str">
        <f>Cable!X107</f>
        <v> 542  </v>
      </c>
      <c r="W111" s="114" t="str">
        <f>Cable!Y107</f>
        <v> 520  </v>
      </c>
      <c r="X111" s="114" t="str">
        <f>Cable!Z107</f>
        <v> 440  </v>
      </c>
      <c r="Y111" s="114" t="str">
        <f>Cable!AA107</f>
        <v> 670  </v>
      </c>
      <c r="Z111" s="114" t="str">
        <f>Cable!AB107</f>
        <v> 37.60  </v>
      </c>
      <c r="AA111" s="114" t="str">
        <f>Cable!AC107</f>
        <v> 57.20  </v>
      </c>
    </row>
    <row r="112" spans="3:27" ht="11.25">
      <c r="C112" s="115" t="str">
        <f>Cable!C108</f>
        <v> 3.5X500</v>
      </c>
      <c r="D112" s="115">
        <f>Cable!D108</f>
        <v>0.08</v>
      </c>
      <c r="E112" s="115">
        <f>Cable!E108</f>
        <v>0.084</v>
      </c>
      <c r="F112" s="115">
        <f>Cable!F108</f>
        <v>0.045</v>
      </c>
      <c r="G112" s="115">
        <f>Cable!G108</f>
        <v>0.084</v>
      </c>
      <c r="H112" s="115" t="str">
        <f>Cable!H108</f>
        <v> 370  </v>
      </c>
      <c r="I112" s="115" t="str">
        <f>Cable!I108</f>
        <v> 320  </v>
      </c>
      <c r="J112" s="115" t="str">
        <f>Cable!J108</f>
        <v> 425  </v>
      </c>
      <c r="K112" s="115" t="str">
        <f>Cable!K108</f>
        <v> 470  </v>
      </c>
      <c r="L112" s="115" t="str">
        <f>Cable!L108</f>
        <v> 390  </v>
      </c>
      <c r="M112" s="115" t="str">
        <f>Cable!M108</f>
        <v> 520  </v>
      </c>
      <c r="N112" s="115" t="str">
        <f>Cable!N108</f>
        <v> 38.00  </v>
      </c>
      <c r="O112" s="115" t="str">
        <f>Cable!O108</f>
        <v> 57.50  </v>
      </c>
      <c r="P112" s="114">
        <f>Cable!R108</f>
        <v>0.1</v>
      </c>
      <c r="Q112" s="114">
        <f>Cable!S108</f>
        <v>0.07</v>
      </c>
      <c r="R112" s="114">
        <f>Cable!T108</f>
        <v>0.0602</v>
      </c>
      <c r="S112" s="114">
        <f>Cable!U108</f>
        <v>0.07</v>
      </c>
      <c r="T112" s="114" t="str">
        <f>Cable!V108</f>
        <v> 481  </v>
      </c>
      <c r="U112" s="114" t="str">
        <f>Cable!W108</f>
        <v> 405  </v>
      </c>
      <c r="V112" s="114" t="str">
        <f>Cable!X108</f>
        <v> 624  </v>
      </c>
      <c r="W112" s="114" t="str">
        <f>Cable!Y108</f>
        <v> 580  </v>
      </c>
      <c r="X112" s="114" t="str">
        <f>Cable!Z108</f>
        <v> 480  </v>
      </c>
      <c r="Y112" s="114" t="str">
        <f>Cable!AA108</f>
        <v> 750  </v>
      </c>
      <c r="Z112" s="114" t="str">
        <f>Cable!AB108</f>
        <v> 47.00  </v>
      </c>
      <c r="AA112" s="114" t="str">
        <f>Cable!AC108</f>
        <v> 71.50  </v>
      </c>
    </row>
    <row r="113" spans="3:27" ht="11.25">
      <c r="C113" s="115" t="str">
        <f>Cable!C109</f>
        <v> 3.5X630</v>
      </c>
      <c r="D113" s="115">
        <f>Cable!D109</f>
        <v>0.08</v>
      </c>
      <c r="E113" s="115">
        <f>Cable!E109</f>
        <v>0.084</v>
      </c>
      <c r="F113" s="115">
        <f>Cable!F109</f>
        <v>0.045</v>
      </c>
      <c r="G113" s="115">
        <f>Cable!G109</f>
        <v>0.084</v>
      </c>
      <c r="H113" s="115" t="str">
        <f>Cable!H109</f>
        <v> 405  </v>
      </c>
      <c r="I113" s="115" t="str">
        <f>Cable!I109</f>
        <v> 350  </v>
      </c>
      <c r="J113" s="115" t="str">
        <f>Cable!J109</f>
        <v> 480  </v>
      </c>
      <c r="K113" s="115" t="str">
        <f>Cable!K109</f>
        <v> 555  </v>
      </c>
      <c r="L113" s="115" t="str">
        <f>Cable!L109</f>
        <v> 470  </v>
      </c>
      <c r="M113" s="115" t="str">
        <f>Cable!M109</f>
        <v> 675  </v>
      </c>
      <c r="N113" s="115" t="str">
        <f>Cable!N109</f>
        <v> 47.90  </v>
      </c>
      <c r="O113" s="115" t="str">
        <f>Cable!O109</f>
        <v> 72.50  </v>
      </c>
      <c r="P113" s="114">
        <f>Cable!R109</f>
        <v>0.1</v>
      </c>
      <c r="Q113" s="114">
        <f>Cable!S109</f>
        <v>0.07</v>
      </c>
      <c r="R113" s="114">
        <f>Cable!T109</f>
        <v>0.0602</v>
      </c>
      <c r="S113" s="114">
        <f>Cable!U109</f>
        <v>0.07</v>
      </c>
      <c r="T113" s="114" t="str">
        <f>Cable!V109</f>
        <v> 537  </v>
      </c>
      <c r="U113" s="114" t="str">
        <f>Cable!W109</f>
        <v> 470  </v>
      </c>
      <c r="V113" s="114" t="str">
        <f>Cable!X109</f>
        <v> 723  </v>
      </c>
      <c r="W113" s="114" t="str">
        <f>Cable!Y109</f>
        <v> 680  </v>
      </c>
      <c r="X113" s="114" t="str">
        <f>Cable!Z109</f>
        <v> 575  </v>
      </c>
      <c r="Y113" s="114" t="str">
        <f>Cable!AA109</f>
        <v> 875  </v>
      </c>
      <c r="Z113" s="114" t="str">
        <f>Cable!AB109</f>
        <v> 59.22  </v>
      </c>
      <c r="AA113" s="114" t="str">
        <f>Cable!AC109</f>
        <v> 90.09  </v>
      </c>
    </row>
    <row r="114" spans="3:27" ht="11.25">
      <c r="C114" s="115" t="str">
        <f>Cable!C110</f>
        <v>4cX 1.5</v>
      </c>
      <c r="D114" s="115">
        <f>Cable!D110</f>
        <v>21.72</v>
      </c>
      <c r="E114" s="115">
        <f>Cable!E110</f>
        <v>0.126</v>
      </c>
      <c r="F114" s="115">
        <f>Cable!F110</f>
        <v>14.5</v>
      </c>
      <c r="G114" s="115">
        <f>Cable!G110</f>
        <v>0.126</v>
      </c>
      <c r="H114" s="115">
        <f>Cable!H110</f>
        <v>16</v>
      </c>
      <c r="I114" s="115">
        <f>Cable!I110</f>
        <v>14</v>
      </c>
      <c r="J114" s="115">
        <f>Cable!J110</f>
        <v>13</v>
      </c>
      <c r="K114" s="115">
        <f>Cable!K110</f>
        <v>21</v>
      </c>
      <c r="L114" s="115">
        <f>Cable!L110</f>
        <v>17</v>
      </c>
      <c r="M114" s="115">
        <f>Cable!M110</f>
        <v>17</v>
      </c>
      <c r="N114" s="115">
        <f>Cable!N110</f>
        <v>0.3</v>
      </c>
      <c r="O114" s="115">
        <f>Cable!O110</f>
        <v>0.4</v>
      </c>
      <c r="P114" s="114" t="str">
        <f>Cable!R110</f>
        <v> —  </v>
      </c>
      <c r="Q114" s="114" t="str">
        <f>Cable!S110</f>
        <v> —  </v>
      </c>
      <c r="R114" s="114" t="str">
        <f>Cable!T110</f>
        <v> —  </v>
      </c>
      <c r="S114" s="114" t="str">
        <f>Cable!U110</f>
        <v> —  </v>
      </c>
      <c r="T114" s="114" t="str">
        <f>Cable!V110</f>
        <v> —  </v>
      </c>
      <c r="U114" s="114" t="str">
        <f>Cable!W110</f>
        <v> —  </v>
      </c>
      <c r="V114" s="114" t="str">
        <f>Cable!X110</f>
        <v> —  </v>
      </c>
      <c r="W114" s="114" t="str">
        <f>Cable!Y110</f>
        <v> —  </v>
      </c>
      <c r="X114" s="114" t="str">
        <f>Cable!Z110</f>
        <v> —  </v>
      </c>
      <c r="Y114" s="114" t="str">
        <f>Cable!AA110</f>
        <v> —  </v>
      </c>
      <c r="Z114" s="114" t="str">
        <f>Cable!AB110</f>
        <v> —  </v>
      </c>
      <c r="AA114" s="114" t="str">
        <f>Cable!AC110</f>
        <v> —  </v>
      </c>
    </row>
    <row r="115" spans="3:27" ht="11.25">
      <c r="C115" s="115" t="str">
        <f>Cable!C111</f>
        <v>4cX 2.5</v>
      </c>
      <c r="D115" s="115">
        <f>Cable!D111</f>
        <v>14.52</v>
      </c>
      <c r="E115" s="115">
        <f>Cable!E111</f>
        <v>0.119</v>
      </c>
      <c r="F115" s="115">
        <f>Cable!F111</f>
        <v>8.87</v>
      </c>
      <c r="G115" s="115">
        <f>Cable!G111</f>
        <v>0.119</v>
      </c>
      <c r="H115" s="115">
        <f>Cable!H111</f>
        <v>21</v>
      </c>
      <c r="I115" s="115">
        <f>Cable!I111</f>
        <v>18</v>
      </c>
      <c r="J115" s="115">
        <f>Cable!J111</f>
        <v>18</v>
      </c>
      <c r="K115" s="115">
        <f>Cable!K111</f>
        <v>27</v>
      </c>
      <c r="L115" s="115">
        <f>Cable!L111</f>
        <v>24</v>
      </c>
      <c r="M115" s="115">
        <f>Cable!M111</f>
        <v>24</v>
      </c>
      <c r="N115" s="115">
        <f>Cable!N111</f>
        <v>0.3</v>
      </c>
      <c r="O115" s="115">
        <f>Cable!O111</f>
        <v>0.4</v>
      </c>
      <c r="P115" s="114" t="str">
        <f>Cable!R111</f>
        <v> —  </v>
      </c>
      <c r="Q115" s="114" t="str">
        <f>Cable!S111</f>
        <v> —  </v>
      </c>
      <c r="R115" s="114" t="str">
        <f>Cable!T111</f>
        <v> —  </v>
      </c>
      <c r="S115" s="114" t="str">
        <f>Cable!U111</f>
        <v> —  </v>
      </c>
      <c r="T115" s="114" t="str">
        <f>Cable!V111</f>
        <v> —  </v>
      </c>
      <c r="U115" s="114" t="str">
        <f>Cable!W111</f>
        <v> —  </v>
      </c>
      <c r="V115" s="114" t="str">
        <f>Cable!X111</f>
        <v> —  </v>
      </c>
      <c r="W115" s="114" t="str">
        <f>Cable!Y111</f>
        <v> —  </v>
      </c>
      <c r="X115" s="114" t="str">
        <f>Cable!Z111</f>
        <v> —  </v>
      </c>
      <c r="Y115" s="114" t="str">
        <f>Cable!AA111</f>
        <v> —  </v>
      </c>
      <c r="Z115" s="114" t="str">
        <f>Cable!AB111</f>
        <v> —  </v>
      </c>
      <c r="AA115" s="114" t="str">
        <f>Cable!AC111</f>
        <v> —  </v>
      </c>
    </row>
    <row r="116" spans="3:27" ht="11.25">
      <c r="C116" s="115" t="str">
        <f>Cable!C112</f>
        <v>4cX4  </v>
      </c>
      <c r="D116" s="115">
        <f>Cable!D112</f>
        <v>8.89</v>
      </c>
      <c r="E116" s="115">
        <f>Cable!E112</f>
        <v>0.116</v>
      </c>
      <c r="F116" s="115">
        <f>Cable!F112</f>
        <v>5.52</v>
      </c>
      <c r="G116" s="115">
        <f>Cable!G112</f>
        <v>0.116</v>
      </c>
      <c r="H116" s="115" t="str">
        <f>Cable!H112</f>
        <v> 28  </v>
      </c>
      <c r="I116" s="115" t="str">
        <f>Cable!I112</f>
        <v> 23  </v>
      </c>
      <c r="J116" s="115" t="str">
        <f>Cable!J112</f>
        <v> 23  </v>
      </c>
      <c r="K116" s="115" t="str">
        <f>Cable!K112</f>
        <v> 36  </v>
      </c>
      <c r="L116" s="115" t="str">
        <f>Cable!L112</f>
        <v> 30  </v>
      </c>
      <c r="M116" s="115" t="str">
        <f>Cable!M112</f>
        <v> 30  </v>
      </c>
      <c r="N116" s="115" t="str">
        <f>Cable!N112</f>
        <v> 0.304  </v>
      </c>
      <c r="O116" s="115" t="str">
        <f>Cable!O112</f>
        <v> 0.460  </v>
      </c>
      <c r="P116" s="114">
        <f>Cable!R112</f>
        <v>5.53</v>
      </c>
      <c r="Q116" s="114">
        <f>Cable!S112</f>
        <v>0.11</v>
      </c>
      <c r="R116" s="114">
        <f>Cable!T112</f>
        <v>3.69</v>
      </c>
      <c r="S116" s="114">
        <f>Cable!U112</f>
        <v>0.11</v>
      </c>
      <c r="T116" s="114" t="str">
        <f>Cable!V112</f>
        <v> 34  </v>
      </c>
      <c r="U116" s="114" t="str">
        <f>Cable!W112</f>
        <v> 28  </v>
      </c>
      <c r="V116" s="114" t="str">
        <f>Cable!X112</f>
        <v> 30  </v>
      </c>
      <c r="W116" s="114" t="str">
        <f>Cable!Y112</f>
        <v> 44  </v>
      </c>
      <c r="X116" s="114" t="str">
        <f>Cable!Z112</f>
        <v> 37  </v>
      </c>
      <c r="Y116" s="114" t="str">
        <f>Cable!AA112</f>
        <v> 39  </v>
      </c>
      <c r="Z116" s="114" t="str">
        <f>Cable!AB112</f>
        <v> 0.376  </v>
      </c>
      <c r="AA116" s="114" t="str">
        <f>Cable!AC112</f>
        <v> 0.572  </v>
      </c>
    </row>
    <row r="117" spans="3:27" ht="11.25">
      <c r="C117" s="115" t="str">
        <f>Cable!C113</f>
        <v>4cX 6  </v>
      </c>
      <c r="D117" s="115">
        <f>Cable!D113</f>
        <v>5.53</v>
      </c>
      <c r="E117" s="115">
        <f>Cable!E113</f>
        <v>0.11</v>
      </c>
      <c r="F117" s="115">
        <f>Cable!F113</f>
        <v>3.69</v>
      </c>
      <c r="G117" s="115">
        <f>Cable!G113</f>
        <v>0.11</v>
      </c>
      <c r="H117" s="115" t="str">
        <f>Cable!H113</f>
        <v> 35  </v>
      </c>
      <c r="I117" s="115" t="str">
        <f>Cable!I113</f>
        <v> 30  </v>
      </c>
      <c r="J117" s="115" t="str">
        <f>Cable!J113</f>
        <v> 30  </v>
      </c>
      <c r="K117" s="115" t="str">
        <f>Cable!K113</f>
        <v> 45  </v>
      </c>
      <c r="L117" s="115" t="str">
        <f>Cable!L113</f>
        <v> 38  </v>
      </c>
      <c r="M117" s="115" t="str">
        <f>Cable!M113</f>
        <v> 39  </v>
      </c>
      <c r="N117" s="115" t="str">
        <f>Cable!N113</f>
        <v> 0.456  </v>
      </c>
      <c r="O117" s="115" t="str">
        <f>Cable!O113</f>
        <v> 0.690  </v>
      </c>
      <c r="P117" s="114">
        <f>Cable!R113</f>
        <v>3.7</v>
      </c>
      <c r="Q117" s="114">
        <f>Cable!S113</f>
        <v>0.1</v>
      </c>
      <c r="R117" s="114">
        <f>Cable!T113</f>
        <v>2.19</v>
      </c>
      <c r="S117" s="114">
        <f>Cable!U113</f>
        <v>0.1</v>
      </c>
      <c r="T117" s="114" t="str">
        <f>Cable!V113</f>
        <v> 43  </v>
      </c>
      <c r="U117" s="114" t="str">
        <f>Cable!W113</f>
        <v> 37  </v>
      </c>
      <c r="V117" s="114" t="str">
        <f>Cable!X113</f>
        <v> 40  </v>
      </c>
      <c r="W117" s="114" t="str">
        <f>Cable!Y113</f>
        <v> 55  </v>
      </c>
      <c r="X117" s="114" t="str">
        <f>Cable!Z113</f>
        <v> 47  </v>
      </c>
      <c r="Y117" s="114" t="str">
        <f>Cable!AA113</f>
        <v> 50  </v>
      </c>
      <c r="Z117" s="114" t="str">
        <f>Cable!AB113</f>
        <v> 0.564  </v>
      </c>
      <c r="AA117" s="114" t="str">
        <f>Cable!AC113</f>
        <v> 0.858  </v>
      </c>
    </row>
    <row r="118" spans="3:27" ht="11.25">
      <c r="C118" s="115" t="str">
        <f>Cable!C114</f>
        <v>4cX 10  </v>
      </c>
      <c r="D118" s="115">
        <f>Cable!D114</f>
        <v>3.7</v>
      </c>
      <c r="E118" s="115">
        <f>Cable!E114</f>
        <v>0.1</v>
      </c>
      <c r="F118" s="115">
        <f>Cable!F114</f>
        <v>2.19</v>
      </c>
      <c r="G118" s="115">
        <f>Cable!G114</f>
        <v>0.1</v>
      </c>
      <c r="H118" s="115" t="str">
        <f>Cable!H114</f>
        <v> 46  </v>
      </c>
      <c r="I118" s="115" t="str">
        <f>Cable!I114</f>
        <v> 39  </v>
      </c>
      <c r="J118" s="115" t="str">
        <f>Cable!J114</f>
        <v> 40  </v>
      </c>
      <c r="K118" s="115" t="str">
        <f>Cable!K114</f>
        <v> 60  </v>
      </c>
      <c r="L118" s="115" t="str">
        <f>Cable!L114</f>
        <v> 50  </v>
      </c>
      <c r="M118" s="115" t="str">
        <f>Cable!M114</f>
        <v> 52  </v>
      </c>
      <c r="N118" s="115" t="str">
        <f>Cable!N114</f>
        <v> 0.760  </v>
      </c>
      <c r="O118" s="115" t="str">
        <f>Cable!O114</f>
        <v> 1.150  </v>
      </c>
      <c r="P118" s="114">
        <f>Cable!R114</f>
        <v>2.29</v>
      </c>
      <c r="Q118" s="114">
        <f>Cable!S114</f>
        <v>0.097</v>
      </c>
      <c r="R118" s="114">
        <f>Cable!T114</f>
        <v>1.38</v>
      </c>
      <c r="S118" s="114">
        <f>Cable!U114</f>
        <v>0.097</v>
      </c>
      <c r="T118" s="114" t="str">
        <f>Cable!V114</f>
        <v> 57  </v>
      </c>
      <c r="U118" s="114" t="str">
        <f>Cable!W114</f>
        <v> 48  </v>
      </c>
      <c r="V118" s="114" t="str">
        <f>Cable!X114</f>
        <v> 53  </v>
      </c>
      <c r="W118" s="114" t="str">
        <f>Cable!Y114</f>
        <v> 74  </v>
      </c>
      <c r="X118" s="114" t="str">
        <f>Cable!Z114</f>
        <v> 61  </v>
      </c>
      <c r="Y118" s="114" t="str">
        <f>Cable!AA114</f>
        <v> 67  </v>
      </c>
      <c r="Z118" s="114" t="str">
        <f>Cable!AB114</f>
        <v> 0.940  </v>
      </c>
      <c r="AA118" s="114" t="str">
        <f>Cable!AC114</f>
        <v> 1.430  </v>
      </c>
    </row>
    <row r="119" spans="3:27" ht="11.25">
      <c r="C119" s="115" t="str">
        <f>Cable!C115</f>
        <v>4cX16  </v>
      </c>
      <c r="D119" s="115">
        <f>Cable!D115</f>
        <v>2.29</v>
      </c>
      <c r="E119" s="115">
        <f>Cable!E115</f>
        <v>0.097</v>
      </c>
      <c r="F119" s="115">
        <f>Cable!F115</f>
        <v>1.38</v>
      </c>
      <c r="G119" s="115">
        <f>Cable!G115</f>
        <v>0.097</v>
      </c>
      <c r="H119" s="115" t="str">
        <f>Cable!H115</f>
        <v> 60  </v>
      </c>
      <c r="I119" s="115" t="str">
        <f>Cable!I115</f>
        <v> 50  </v>
      </c>
      <c r="J119" s="115" t="str">
        <f>Cable!J115</f>
        <v> 51  </v>
      </c>
      <c r="K119" s="115" t="str">
        <f>Cable!K115</f>
        <v> 77  </v>
      </c>
      <c r="L119" s="115" t="str">
        <f>Cable!L115</f>
        <v> 64  </v>
      </c>
      <c r="M119" s="115" t="str">
        <f>Cable!M115</f>
        <v> 66  </v>
      </c>
      <c r="N119" s="115" t="str">
        <f>Cable!N115</f>
        <v> 1.220  </v>
      </c>
      <c r="O119" s="115" t="str">
        <f>Cable!O115</f>
        <v> 1.840  </v>
      </c>
      <c r="P119" s="114">
        <f>Cable!R115</f>
        <v>2.45</v>
      </c>
      <c r="Q119" s="114">
        <f>Cable!S115</f>
        <v>0.08</v>
      </c>
      <c r="R119" s="114">
        <f>Cable!T115</f>
        <v>1.47</v>
      </c>
      <c r="S119" s="114">
        <f>Cable!U115</f>
        <v>0.08</v>
      </c>
      <c r="T119" s="114" t="str">
        <f>Cable!V115</f>
        <v> 78  </v>
      </c>
      <c r="U119" s="114" t="str">
        <f>Cable!W115</f>
        <v> 61  </v>
      </c>
      <c r="V119" s="114" t="str">
        <f>Cable!X115</f>
        <v> 70  </v>
      </c>
      <c r="W119" s="114" t="str">
        <f>Cable!Y115</f>
        <v> 94  </v>
      </c>
      <c r="X119" s="114" t="str">
        <f>Cable!Z115</f>
        <v> 78  </v>
      </c>
      <c r="Y119" s="114" t="str">
        <f>Cable!AA115</f>
        <v> 85  </v>
      </c>
      <c r="Z119" s="114" t="str">
        <f>Cable!AB115</f>
        <v> 1.50  </v>
      </c>
      <c r="AA119" s="114" t="str">
        <f>Cable!AC115</f>
        <v> 2.29  </v>
      </c>
    </row>
    <row r="120" spans="3:27" ht="11.25">
      <c r="C120" s="115" t="str">
        <f>Cable!C116</f>
        <v>4cX 25  </v>
      </c>
      <c r="D120" s="115">
        <f>Cable!D116</f>
        <v>1.44</v>
      </c>
      <c r="E120" s="115">
        <f>Cable!E116</f>
        <v>0.097</v>
      </c>
      <c r="F120" s="115">
        <f>Cable!F116</f>
        <v>0.87</v>
      </c>
      <c r="G120" s="115">
        <f>Cable!G116</f>
        <v>0.097</v>
      </c>
      <c r="H120" s="115" t="str">
        <f>Cable!H116</f>
        <v> 76  </v>
      </c>
      <c r="I120" s="115" t="str">
        <f>Cable!I116</f>
        <v> 63  </v>
      </c>
      <c r="J120" s="115" t="str">
        <f>Cable!J116</f>
        <v> 70  </v>
      </c>
      <c r="K120" s="115" t="str">
        <f>Cable!K116</f>
        <v> 99  </v>
      </c>
      <c r="L120" s="115" t="str">
        <f>Cable!L116</f>
        <v> 81  </v>
      </c>
      <c r="M120" s="115" t="str">
        <f>Cable!M116</f>
        <v> 90  </v>
      </c>
      <c r="N120" s="115" t="str">
        <f>Cable!N116</f>
        <v> 1.900  </v>
      </c>
      <c r="O120" s="115" t="str">
        <f>Cable!O116</f>
        <v> 2.880  </v>
      </c>
      <c r="P120" s="114">
        <f>Cable!R116</f>
        <v>1.54</v>
      </c>
      <c r="Q120" s="114">
        <f>Cable!S116</f>
        <v>0.08</v>
      </c>
      <c r="R120" s="114">
        <f>Cable!T116</f>
        <v>0.93</v>
      </c>
      <c r="S120" s="114">
        <f>Cable!U116</f>
        <v>0.08</v>
      </c>
      <c r="T120" s="114" t="str">
        <f>Cable!V116</f>
        <v> 95  </v>
      </c>
      <c r="U120" s="114" t="str">
        <f>Cable!W116</f>
        <v> 80  </v>
      </c>
      <c r="V120" s="114" t="str">
        <f>Cable!X116</f>
        <v> 99  </v>
      </c>
      <c r="W120" s="114" t="str">
        <f>Cable!Y116</f>
        <v> 120  </v>
      </c>
      <c r="X120" s="114" t="str">
        <f>Cable!Z116</f>
        <v> 100  </v>
      </c>
      <c r="Y120" s="114" t="str">
        <f>Cable!AA116</f>
        <v> 125  </v>
      </c>
      <c r="Z120" s="114" t="str">
        <f>Cable!AB116</f>
        <v> 2.35  </v>
      </c>
      <c r="AA120" s="114" t="str">
        <f>Cable!AC116</f>
        <v> 3.58  </v>
      </c>
    </row>
    <row r="121" spans="3:27" ht="11.25">
      <c r="C121" s="115" t="str">
        <f>Cable!C117</f>
        <v>4cX35  </v>
      </c>
      <c r="D121" s="115">
        <f>Cable!D117</f>
        <v>1.04</v>
      </c>
      <c r="E121" s="115">
        <f>Cable!E117</f>
        <v>0.097</v>
      </c>
      <c r="F121" s="115">
        <f>Cable!F117</f>
        <v>0.62</v>
      </c>
      <c r="G121" s="115">
        <f>Cable!G117</f>
        <v>0.097</v>
      </c>
      <c r="H121" s="115" t="str">
        <f>Cable!H117</f>
        <v> 92  </v>
      </c>
      <c r="I121" s="115" t="str">
        <f>Cable!I117</f>
        <v> 77  </v>
      </c>
      <c r="J121" s="115" t="str">
        <f>Cable!J117</f>
        <v> 86  </v>
      </c>
      <c r="K121" s="115" t="str">
        <f>Cable!K117</f>
        <v> 120  </v>
      </c>
      <c r="L121" s="115" t="str">
        <f>Cable!L117</f>
        <v> 99  </v>
      </c>
      <c r="M121" s="115" t="str">
        <f>Cable!M117</f>
        <v> 110  </v>
      </c>
      <c r="N121" s="115" t="str">
        <f>Cable!N117</f>
        <v> 2.660  </v>
      </c>
      <c r="O121" s="115" t="str">
        <f>Cable!O117</f>
        <v> 4.030  </v>
      </c>
      <c r="P121" s="114">
        <f>Cable!R117</f>
        <v>1.11</v>
      </c>
      <c r="Q121" s="114">
        <f>Cable!S117</f>
        <v>0.08</v>
      </c>
      <c r="R121" s="114">
        <f>Cable!T117</f>
        <v>0.671</v>
      </c>
      <c r="S121" s="114">
        <f>Cable!U117</f>
        <v>0.08</v>
      </c>
      <c r="T121" s="114" t="str">
        <f>Cable!V117</f>
        <v> 116  </v>
      </c>
      <c r="U121" s="114" t="str">
        <f>Cable!W117</f>
        <v> 94  </v>
      </c>
      <c r="V121" s="114" t="str">
        <f>Cable!X117</f>
        <v> 117  </v>
      </c>
      <c r="W121" s="114" t="str">
        <f>Cable!Y117</f>
        <v> 145  </v>
      </c>
      <c r="X121" s="114" t="str">
        <f>Cable!Z117</f>
        <v> 120  </v>
      </c>
      <c r="Y121" s="114" t="str">
        <f>Cable!AA117</f>
        <v> 155  </v>
      </c>
      <c r="Z121" s="114" t="str">
        <f>Cable!AB117</f>
        <v> 3.29  </v>
      </c>
      <c r="AA121" s="114" t="str">
        <f>Cable!AC117</f>
        <v> 5.01  </v>
      </c>
    </row>
    <row r="122" spans="3:27" ht="11.25">
      <c r="C122" s="115" t="str">
        <f>Cable!C118</f>
        <v>4cX 50  </v>
      </c>
      <c r="D122" s="115">
        <f>Cable!D118</f>
        <v>0.77</v>
      </c>
      <c r="E122" s="115">
        <f>Cable!E118</f>
        <v>0.094</v>
      </c>
      <c r="F122" s="115">
        <f>Cable!F118</f>
        <v>0.46</v>
      </c>
      <c r="G122" s="115">
        <f>Cable!G118</f>
        <v>0.094</v>
      </c>
      <c r="H122" s="115" t="str">
        <f>Cable!H118</f>
        <v> 110  </v>
      </c>
      <c r="I122" s="115" t="str">
        <f>Cable!I118</f>
        <v> 95  </v>
      </c>
      <c r="J122" s="115" t="str">
        <f>Cable!J118</f>
        <v> 105  </v>
      </c>
      <c r="K122" s="115" t="str">
        <f>Cable!K118</f>
        <v> 145  </v>
      </c>
      <c r="L122" s="115" t="str">
        <f>Cable!L118</f>
        <v> 125  </v>
      </c>
      <c r="M122" s="115" t="str">
        <f>Cable!M118</f>
        <v> 135  </v>
      </c>
      <c r="N122" s="115" t="str">
        <f>Cable!N118</f>
        <v> 3.800  </v>
      </c>
      <c r="O122" s="115" t="str">
        <f>Cable!O118</f>
        <v> 5.750  </v>
      </c>
      <c r="P122" s="114">
        <f>Cable!R118</f>
        <v>0.082</v>
      </c>
      <c r="Q122" s="114">
        <f>Cable!S118</f>
        <v>0.078</v>
      </c>
      <c r="R122" s="114">
        <f>Cable!T118</f>
        <v>0.495</v>
      </c>
      <c r="S122" s="114">
        <f>Cable!U118</f>
        <v>0.078</v>
      </c>
      <c r="T122" s="114" t="str">
        <f>Cable!V118</f>
        <v> 140  </v>
      </c>
      <c r="U122" s="114" t="str">
        <f>Cable!W118</f>
        <v> 110  </v>
      </c>
      <c r="V122" s="114" t="str">
        <f>Cable!X118</f>
        <v> 140  </v>
      </c>
      <c r="W122" s="114" t="str">
        <f>Cable!Y118</f>
        <v> 170  </v>
      </c>
      <c r="X122" s="114" t="str">
        <f>Cable!Z118</f>
        <v> 145  </v>
      </c>
      <c r="Y122" s="114" t="str">
        <f>Cable!AA118</f>
        <v> 190  </v>
      </c>
      <c r="Z122" s="114" t="str">
        <f>Cable!AB118</f>
        <v> 4.70  </v>
      </c>
      <c r="AA122" s="114" t="str">
        <f>Cable!AC118</f>
        <v> 7.15  </v>
      </c>
    </row>
    <row r="123" spans="3:27" ht="11.25">
      <c r="C123" s="115" t="str">
        <f>Cable!C119</f>
        <v>4cX70  </v>
      </c>
      <c r="D123" s="115">
        <f>Cable!D119</f>
        <v>0.53</v>
      </c>
      <c r="E123" s="115">
        <f>Cable!E119</f>
        <v>0.09</v>
      </c>
      <c r="F123" s="115">
        <f>Cable!F119</f>
        <v>0.32</v>
      </c>
      <c r="G123" s="115">
        <f>Cable!G119</f>
        <v>0.09</v>
      </c>
      <c r="H123" s="115" t="str">
        <f>Cable!H119</f>
        <v> 135  </v>
      </c>
      <c r="I123" s="115" t="str">
        <f>Cable!I119</f>
        <v> 115  </v>
      </c>
      <c r="J123" s="115" t="str">
        <f>Cable!J119</f>
        <v> 130  </v>
      </c>
      <c r="K123" s="115" t="str">
        <f>Cable!K119</f>
        <v> 175  </v>
      </c>
      <c r="L123" s="115" t="str">
        <f>Cable!L119</f>
        <v> 150  </v>
      </c>
      <c r="M123" s="115" t="str">
        <f>Cable!M119</f>
        <v> 165  </v>
      </c>
      <c r="N123" s="115" t="str">
        <f>Cable!N119</f>
        <v> 5.320  </v>
      </c>
      <c r="O123" s="115" t="str">
        <f>Cable!O119</f>
        <v> 8.050  </v>
      </c>
      <c r="P123" s="114">
        <f>Cable!R119</f>
        <v>0.57</v>
      </c>
      <c r="Q123" s="114">
        <f>Cable!S119</f>
        <v>0.077</v>
      </c>
      <c r="R123" s="114">
        <f>Cable!T119</f>
        <v>0.343</v>
      </c>
      <c r="S123" s="114">
        <f>Cable!U119</f>
        <v>0.077</v>
      </c>
      <c r="T123" s="114" t="str">
        <f>Cable!V119</f>
        <v> 170  </v>
      </c>
      <c r="U123" s="114" t="str">
        <f>Cable!W119</f>
        <v> 140  </v>
      </c>
      <c r="V123" s="114" t="str">
        <f>Cable!X119</f>
        <v> 176  </v>
      </c>
      <c r="W123" s="114" t="str">
        <f>Cable!Y119</f>
        <v> 210  </v>
      </c>
      <c r="X123" s="114" t="str">
        <f>Cable!Z119</f>
        <v> 175  </v>
      </c>
      <c r="Y123" s="114" t="str">
        <f>Cable!AA119</f>
        <v> 235  </v>
      </c>
      <c r="Z123" s="114" t="str">
        <f>Cable!AB119</f>
        <v> 6.58  </v>
      </c>
      <c r="AA123" s="114" t="str">
        <f>Cable!AC119</f>
        <v> 10.01  </v>
      </c>
    </row>
    <row r="124" spans="3:27" ht="11.25">
      <c r="C124" s="115" t="str">
        <f>Cable!C120</f>
        <v>4cX 95  </v>
      </c>
      <c r="D124" s="115">
        <f>Cable!D120</f>
        <v>0.38</v>
      </c>
      <c r="E124" s="115">
        <f>Cable!E120</f>
        <v>0.9</v>
      </c>
      <c r="F124" s="115">
        <f>Cable!F120</f>
        <v>0.23</v>
      </c>
      <c r="G124" s="115">
        <f>Cable!G120</f>
        <v>0.09</v>
      </c>
      <c r="H124" s="115" t="str">
        <f>Cable!H120</f>
        <v> 165  </v>
      </c>
      <c r="I124" s="115" t="str">
        <f>Cable!I120</f>
        <v> 140  </v>
      </c>
      <c r="J124" s="115" t="str">
        <f>Cable!J120</f>
        <v> 155  </v>
      </c>
      <c r="K124" s="115" t="str">
        <f>Cable!K120</f>
        <v> 210  </v>
      </c>
      <c r="L124" s="115" t="str">
        <f>Cable!L120</f>
        <v> 175  </v>
      </c>
      <c r="M124" s="115" t="str">
        <f>Cable!M120</f>
        <v> 200  </v>
      </c>
      <c r="N124" s="115" t="str">
        <f>Cable!N120</f>
        <v> 7.220  </v>
      </c>
      <c r="O124" s="115" t="str">
        <f>Cable!O120</f>
        <v> 10.900  </v>
      </c>
      <c r="P124" s="114">
        <f>Cable!R120</f>
        <v>0.41</v>
      </c>
      <c r="Q124" s="114">
        <f>Cable!S120</f>
        <v>0.074</v>
      </c>
      <c r="R124" s="114">
        <f>Cable!T120</f>
        <v>0.247</v>
      </c>
      <c r="S124" s="114">
        <f>Cable!U120</f>
        <v>0.074</v>
      </c>
      <c r="T124" s="114" t="str">
        <f>Cable!V120</f>
        <v> 200  </v>
      </c>
      <c r="U124" s="114" t="str">
        <f>Cable!W120</f>
        <v> 165  </v>
      </c>
      <c r="V124" s="114" t="str">
        <f>Cable!X120</f>
        <v> 221  </v>
      </c>
      <c r="W124" s="114" t="str">
        <f>Cable!Y120</f>
        <v> 250  </v>
      </c>
      <c r="X124" s="114" t="str">
        <f>Cable!Z120</f>
        <v> 210  </v>
      </c>
      <c r="Y124" s="114" t="str">
        <f>Cable!AA120</f>
        <v> 290  </v>
      </c>
      <c r="Z124" s="114" t="str">
        <f>Cable!AB120</f>
        <v> 8.93  </v>
      </c>
      <c r="AA124" s="114" t="str">
        <f>Cable!AC120</f>
        <v> 13.59  </v>
      </c>
    </row>
    <row r="125" spans="3:27" ht="11.25">
      <c r="C125" s="115" t="str">
        <f>Cable!C121</f>
        <v>4cX 120  </v>
      </c>
      <c r="D125" s="115">
        <f>Cable!D121</f>
        <v>0.3</v>
      </c>
      <c r="E125" s="115">
        <f>Cable!E121</f>
        <v>0.087</v>
      </c>
      <c r="F125" s="115">
        <f>Cable!F121</f>
        <v>0.18</v>
      </c>
      <c r="G125" s="115">
        <f>Cable!G121</f>
        <v>0.087</v>
      </c>
      <c r="H125" s="115" t="str">
        <f>Cable!H121</f>
        <v> 185  </v>
      </c>
      <c r="I125" s="115" t="str">
        <f>Cable!I121</f>
        <v> 155  </v>
      </c>
      <c r="J125" s="115" t="str">
        <f>Cable!J121</f>
        <v> 180  </v>
      </c>
      <c r="K125" s="115" t="str">
        <f>Cable!K121</f>
        <v> 240  </v>
      </c>
      <c r="L125" s="115" t="str">
        <f>Cable!L121</f>
        <v> 195  </v>
      </c>
      <c r="M125" s="115" t="str">
        <f>Cable!M121</f>
        <v> 230  </v>
      </c>
      <c r="N125" s="115" t="str">
        <f>Cable!N121</f>
        <v> 9.120  </v>
      </c>
      <c r="O125" s="115" t="str">
        <f>Cable!O121</f>
        <v> 13.800  </v>
      </c>
      <c r="P125" s="114">
        <f>Cable!R121</f>
        <v>0.33</v>
      </c>
      <c r="Q125" s="114">
        <f>Cable!S121</f>
        <v>0.072</v>
      </c>
      <c r="R125" s="114">
        <f>Cable!T121</f>
        <v>0.196</v>
      </c>
      <c r="S125" s="114">
        <f>Cable!U121</f>
        <v>0.072</v>
      </c>
      <c r="T125" s="114" t="str">
        <f>Cable!V121</f>
        <v> 225  </v>
      </c>
      <c r="U125" s="114" t="str">
        <f>Cable!W121</f>
        <v> 185  </v>
      </c>
      <c r="V125" s="114" t="str">
        <f>Cable!X121</f>
        <v> 258  </v>
      </c>
      <c r="W125" s="114" t="str">
        <f>Cable!Y121</f>
        <v> 285  </v>
      </c>
      <c r="X125" s="114" t="str">
        <f>Cable!Z121</f>
        <v> 240  </v>
      </c>
      <c r="Y125" s="114" t="str">
        <f>Cable!AA121</f>
        <v> 330  </v>
      </c>
      <c r="Z125" s="114" t="str">
        <f>Cable!AB121</f>
        <v> 11.28  </v>
      </c>
      <c r="AA125" s="114" t="str">
        <f>Cable!AC121</f>
        <v> 17.16  </v>
      </c>
    </row>
    <row r="126" spans="3:27" ht="11.25">
      <c r="C126" s="115" t="str">
        <f>Cable!C122</f>
        <v>4cX 150  </v>
      </c>
      <c r="D126" s="115">
        <f>Cable!D122</f>
        <v>0.25</v>
      </c>
      <c r="E126" s="115">
        <f>Cable!E122</f>
        <v>0.087</v>
      </c>
      <c r="F126" s="115">
        <f>Cable!F122</f>
        <v>0.14</v>
      </c>
      <c r="G126" s="115">
        <f>Cable!G122</f>
        <v>0.087</v>
      </c>
      <c r="H126" s="115" t="str">
        <f>Cable!H122</f>
        <v> 210  </v>
      </c>
      <c r="I126" s="115" t="str">
        <f>Cable!I122</f>
        <v> 175  </v>
      </c>
      <c r="J126" s="115" t="str">
        <f>Cable!J122</f>
        <v> 205  </v>
      </c>
      <c r="K126" s="115" t="str">
        <f>Cable!K122</f>
        <v> 270  </v>
      </c>
      <c r="L126" s="115" t="str">
        <f>Cable!L122</f>
        <v> 225  </v>
      </c>
      <c r="M126" s="115" t="str">
        <f>Cable!M122</f>
        <v> 265  </v>
      </c>
      <c r="N126" s="115" t="str">
        <f>Cable!N122</f>
        <v> 11.400  </v>
      </c>
      <c r="O126" s="115" t="str">
        <f>Cable!O122</f>
        <v> 17.300  </v>
      </c>
      <c r="P126" s="114">
        <f>Cable!R122</f>
        <v>0.27</v>
      </c>
      <c r="Q126" s="114">
        <f>Cable!S122</f>
        <v>0.072</v>
      </c>
      <c r="R126" s="114">
        <f>Cable!T122</f>
        <v>0.159</v>
      </c>
      <c r="S126" s="114">
        <f>Cable!U122</f>
        <v>0.072</v>
      </c>
      <c r="T126" s="114" t="str">
        <f>Cable!V122</f>
        <v> 255  </v>
      </c>
      <c r="U126" s="114" t="str">
        <f>Cable!W122</f>
        <v> 210  </v>
      </c>
      <c r="V126" s="114" t="str">
        <f>Cable!X122</f>
        <v> 294  </v>
      </c>
      <c r="W126" s="114" t="str">
        <f>Cable!Y122</f>
        <v> 315  </v>
      </c>
      <c r="X126" s="114" t="str">
        <f>Cable!Z122</f>
        <v> 270  </v>
      </c>
      <c r="Y126" s="114" t="str">
        <f>Cable!AA122</f>
        <v> 375  </v>
      </c>
      <c r="Z126" s="114" t="str">
        <f>Cable!AB122</f>
        <v> 14.10  </v>
      </c>
      <c r="AA126" s="114" t="str">
        <f>Cable!AC122</f>
        <v> 21.45  </v>
      </c>
    </row>
    <row r="127" spans="3:27" ht="11.25">
      <c r="C127" s="115" t="str">
        <f>Cable!C123</f>
        <v>4cX 185  </v>
      </c>
      <c r="D127" s="115">
        <f>Cable!D123</f>
        <v>0.2</v>
      </c>
      <c r="E127" s="115">
        <f>Cable!E123</f>
        <v>0.087</v>
      </c>
      <c r="F127" s="115">
        <f>Cable!F123</f>
        <v>0.12</v>
      </c>
      <c r="G127" s="115">
        <f>Cable!G123</f>
        <v>0.087</v>
      </c>
      <c r="H127" s="115" t="str">
        <f>Cable!H123</f>
        <v> 235  </v>
      </c>
      <c r="I127" s="115" t="str">
        <f>Cable!I123</f>
        <v> 200  </v>
      </c>
      <c r="J127" s="115" t="str">
        <f>Cable!J123</f>
        <v> 240  </v>
      </c>
      <c r="K127" s="115" t="str">
        <f>Cable!K123</f>
        <v> 300  </v>
      </c>
      <c r="L127" s="115" t="str">
        <f>Cable!L123</f>
        <v> 255  </v>
      </c>
      <c r="M127" s="115" t="str">
        <f>Cable!M123</f>
        <v> 305  </v>
      </c>
      <c r="N127" s="115" t="str">
        <f>Cable!N123</f>
        <v> 14.100  </v>
      </c>
      <c r="O127" s="115" t="str">
        <f>Cable!O123</f>
        <v> 21.300  </v>
      </c>
      <c r="P127" s="114">
        <f>Cable!R123</f>
        <v>0.21</v>
      </c>
      <c r="Q127" s="114">
        <f>Cable!S123</f>
        <v>0.072</v>
      </c>
      <c r="R127" s="114">
        <f>Cable!T123</f>
        <v>0.127</v>
      </c>
      <c r="S127" s="114">
        <f>Cable!U123</f>
        <v>0.072</v>
      </c>
      <c r="T127" s="114" t="str">
        <f>Cable!V123</f>
        <v> 285  </v>
      </c>
      <c r="U127" s="114" t="str">
        <f>Cable!W123</f>
        <v> 235  </v>
      </c>
      <c r="V127" s="114" t="str">
        <f>Cable!X123</f>
        <v> 339  </v>
      </c>
      <c r="W127" s="114" t="str">
        <f>Cable!Y123</f>
        <v> 355  </v>
      </c>
      <c r="X127" s="114" t="str">
        <f>Cable!Z123</f>
        <v> 300  </v>
      </c>
      <c r="Y127" s="114" t="str">
        <f>Cable!AA123</f>
        <v> 435  </v>
      </c>
      <c r="Z127" s="114" t="str">
        <f>Cable!AB123</f>
        <v> 17.39  </v>
      </c>
      <c r="AA127" s="114" t="str">
        <f>Cable!AC123</f>
        <v> 26.46  </v>
      </c>
    </row>
    <row r="128" spans="3:27" ht="11.25">
      <c r="C128" s="115" t="str">
        <f>Cable!C124</f>
        <v>4cX 240  </v>
      </c>
      <c r="D128" s="115">
        <f>Cable!D124</f>
        <v>0.15</v>
      </c>
      <c r="E128" s="115">
        <f>Cable!E124</f>
        <v>0.087</v>
      </c>
      <c r="F128" s="115">
        <f>Cable!F124</f>
        <v>0.091</v>
      </c>
      <c r="G128" s="115">
        <f>Cable!G124</f>
        <v>0.087</v>
      </c>
      <c r="H128" s="115" t="str">
        <f>Cable!H124</f>
        <v> 275  </v>
      </c>
      <c r="I128" s="115" t="str">
        <f>Cable!I124</f>
        <v> 235  </v>
      </c>
      <c r="J128" s="115" t="str">
        <f>Cable!J124</f>
        <v> 280  </v>
      </c>
      <c r="K128" s="115" t="str">
        <f>Cable!K124</f>
        <v> 345  </v>
      </c>
      <c r="L128" s="115" t="str">
        <f>Cable!L124</f>
        <v> 295  </v>
      </c>
      <c r="M128" s="115" t="str">
        <f>Cable!M124</f>
        <v> 355  </v>
      </c>
      <c r="N128" s="115" t="str">
        <f>Cable!N124</f>
        <v> 18.200  </v>
      </c>
      <c r="O128" s="115" t="str">
        <f>Cable!O124</f>
        <v> 27.600  </v>
      </c>
      <c r="P128" s="114">
        <f>Cable!R124</f>
        <v>0.16</v>
      </c>
      <c r="Q128" s="114">
        <f>Cable!S124</f>
        <v>0.072</v>
      </c>
      <c r="R128" s="114">
        <f>Cable!T124</f>
        <v>0.0965</v>
      </c>
      <c r="S128" s="114">
        <f>Cable!U124</f>
        <v>0.072</v>
      </c>
      <c r="T128" s="114" t="str">
        <f>Cable!V124</f>
        <v> 325  </v>
      </c>
      <c r="U128" s="114" t="str">
        <f>Cable!W124</f>
        <v> 270  </v>
      </c>
      <c r="V128" s="114" t="str">
        <f>Cable!X124</f>
        <v> 402  </v>
      </c>
      <c r="W128" s="114" t="str">
        <f>Cable!Y124</f>
        <v> 410  </v>
      </c>
      <c r="X128" s="114" t="str">
        <f>Cable!Z124</f>
        <v> 350  </v>
      </c>
      <c r="Y128" s="114" t="str">
        <f>Cable!AA124</f>
        <v> 510  </v>
      </c>
      <c r="Z128" s="114" t="str">
        <f>Cable!AB124</f>
        <v> 22.56  </v>
      </c>
      <c r="AA128" s="114" t="str">
        <f>Cable!AC124</f>
        <v> 34.32  </v>
      </c>
    </row>
    <row r="129" spans="3:27" ht="11.25">
      <c r="C129" s="115" t="str">
        <f>Cable!C125</f>
        <v>4cX 300  </v>
      </c>
      <c r="D129" s="115">
        <f>Cable!D125</f>
        <v>0.12</v>
      </c>
      <c r="E129" s="115">
        <f>Cable!E125</f>
        <v>0.086</v>
      </c>
      <c r="F129" s="115">
        <f>Cable!F125</f>
        <v>0.073</v>
      </c>
      <c r="G129" s="115">
        <f>Cable!G125</f>
        <v>0.086</v>
      </c>
      <c r="H129" s="115" t="str">
        <f>Cable!H125</f>
        <v> 305  </v>
      </c>
      <c r="I129" s="115" t="str">
        <f>Cable!I125</f>
        <v> 260  </v>
      </c>
      <c r="J129" s="115" t="str">
        <f>Cable!J125</f>
        <v> 315  </v>
      </c>
      <c r="K129" s="115" t="str">
        <f>Cable!K125</f>
        <v> 385  </v>
      </c>
      <c r="L129" s="115" t="str">
        <f>Cable!L125</f>
        <v> 335  </v>
      </c>
      <c r="M129" s="115" t="str">
        <f>Cable!M125</f>
        <v> 400  </v>
      </c>
      <c r="N129" s="115" t="str">
        <f>Cable!N125</f>
        <v> 22.800  </v>
      </c>
      <c r="O129" s="115" t="str">
        <f>Cable!O125</f>
        <v> 34.500  </v>
      </c>
      <c r="P129" s="114">
        <f>Cable!R125</f>
        <v>0.13</v>
      </c>
      <c r="Q129" s="114">
        <f>Cable!S125</f>
        <v>0.071</v>
      </c>
      <c r="R129" s="114">
        <f>Cable!T125</f>
        <v>0.0769</v>
      </c>
      <c r="S129" s="114">
        <f>Cable!U125</f>
        <v>0.071</v>
      </c>
      <c r="T129" s="114" t="str">
        <f>Cable!V125</f>
        <v> 370  </v>
      </c>
      <c r="U129" s="114" t="str">
        <f>Cable!W125</f>
        <v> 305  </v>
      </c>
      <c r="V129" s="114" t="str">
        <f>Cable!X125</f>
        <v> 461  </v>
      </c>
      <c r="W129" s="114" t="str">
        <f>Cable!Y125</f>
        <v> 460  </v>
      </c>
      <c r="X129" s="114" t="str">
        <f>Cable!Z125</f>
        <v> 390  </v>
      </c>
      <c r="Y129" s="114" t="str">
        <f>Cable!AA125</f>
        <v> 590  </v>
      </c>
      <c r="Z129" s="114" t="str">
        <f>Cable!AB125</f>
        <v> 28.20  </v>
      </c>
      <c r="AA129" s="114" t="str">
        <f>Cable!AC125</f>
        <v> 42.90  </v>
      </c>
    </row>
    <row r="130" spans="3:27" ht="11.25">
      <c r="C130" s="115" t="str">
        <f>Cable!C126</f>
        <v>4cX 400  </v>
      </c>
      <c r="D130" s="115">
        <f>Cable!D126</f>
        <v>0.09</v>
      </c>
      <c r="E130" s="115">
        <f>Cable!E126</f>
        <v>0.086</v>
      </c>
      <c r="F130" s="115">
        <f>Cable!F126</f>
        <v>0.059</v>
      </c>
      <c r="G130" s="115">
        <f>Cable!G126</f>
        <v>0.086</v>
      </c>
      <c r="H130" s="115" t="str">
        <f>Cable!H126</f>
        <v> 335  </v>
      </c>
      <c r="I130" s="115" t="str">
        <f>Cable!I126</f>
        <v> 290  </v>
      </c>
      <c r="J130" s="115" t="str">
        <f>Cable!J126</f>
        <v> 375  </v>
      </c>
      <c r="K130" s="115" t="str">
        <f>Cable!K126</f>
        <v> 425  </v>
      </c>
      <c r="L130" s="115" t="str">
        <f>Cable!L126</f>
        <v> 360  </v>
      </c>
      <c r="M130" s="115" t="str">
        <f>Cable!M126</f>
        <v> 435  </v>
      </c>
      <c r="N130" s="115" t="str">
        <f>Cable!N126</f>
        <v> 30.400  </v>
      </c>
      <c r="O130" s="115" t="str">
        <f>Cable!O126</f>
        <v> 46.000  </v>
      </c>
      <c r="P130" s="114">
        <f>Cable!R126</f>
        <v>0.1</v>
      </c>
      <c r="Q130" s="114">
        <f>Cable!S126</f>
        <v>0.07</v>
      </c>
      <c r="R130" s="114">
        <f>Cable!T126</f>
        <v>0.0602</v>
      </c>
      <c r="S130" s="114">
        <f>Cable!U126</f>
        <v>0.07</v>
      </c>
      <c r="T130" s="114" t="str">
        <f>Cable!V126</f>
        <v> 435  </v>
      </c>
      <c r="U130" s="114" t="str">
        <f>Cable!W126</f>
        <v> 350  </v>
      </c>
      <c r="V130" s="114" t="str">
        <f>Cable!X126</f>
        <v> 542  </v>
      </c>
      <c r="W130" s="114" t="str">
        <f>Cable!Y126</f>
        <v> 520  </v>
      </c>
      <c r="X130" s="114" t="str">
        <f>Cable!Z126</f>
        <v> 440  </v>
      </c>
      <c r="Y130" s="114" t="str">
        <f>Cable!AA126</f>
        <v> 670  </v>
      </c>
      <c r="Z130" s="114" t="str">
        <f>Cable!AB126</f>
        <v> 37.60  </v>
      </c>
      <c r="AA130" s="114" t="str">
        <f>Cable!AC126</f>
        <v> 57.20  </v>
      </c>
    </row>
    <row r="131" spans="3:27" ht="11.25">
      <c r="C131" s="115" t="str">
        <f>Cable!C127</f>
        <v>4cX 500  </v>
      </c>
      <c r="D131" s="115">
        <f>Cable!D127</f>
        <v>0.09</v>
      </c>
      <c r="E131" s="115">
        <f>Cable!E127</f>
        <v>0.086</v>
      </c>
      <c r="F131" s="115">
        <f>Cable!F127</f>
        <v>0.059</v>
      </c>
      <c r="G131" s="115">
        <f>Cable!G127</f>
        <v>0.086</v>
      </c>
      <c r="H131" s="115" t="str">
        <f>Cable!H127</f>
        <v> 370  </v>
      </c>
      <c r="I131" s="115" t="str">
        <f>Cable!I127</f>
        <v> 320  </v>
      </c>
      <c r="J131" s="115" t="str">
        <f>Cable!J127</f>
        <v> 425  </v>
      </c>
      <c r="K131" s="115" t="str">
        <f>Cable!K127</f>
        <v> 470  </v>
      </c>
      <c r="L131" s="115" t="str">
        <f>Cable!L127</f>
        <v> 390  </v>
      </c>
      <c r="M131" s="115" t="str">
        <f>Cable!M127</f>
        <v> 520  </v>
      </c>
      <c r="N131" s="115" t="str">
        <f>Cable!N127</f>
        <v> 38.000  </v>
      </c>
      <c r="O131" s="115" t="str">
        <f>Cable!O127</f>
        <v> 57.500  </v>
      </c>
      <c r="P131" s="114">
        <f>Cable!R127</f>
        <v>0.1</v>
      </c>
      <c r="Q131" s="114">
        <f>Cable!S127</f>
        <v>0.07</v>
      </c>
      <c r="R131" s="114">
        <f>Cable!T127</f>
        <v>0.0602</v>
      </c>
      <c r="S131" s="114">
        <f>Cable!U127</f>
        <v>0.07</v>
      </c>
      <c r="T131" s="114" t="str">
        <f>Cable!V127</f>
        <v> 481  </v>
      </c>
      <c r="U131" s="114" t="str">
        <f>Cable!W127</f>
        <v> 405  </v>
      </c>
      <c r="V131" s="114" t="str">
        <f>Cable!X127</f>
        <v> 624  </v>
      </c>
      <c r="W131" s="114" t="str">
        <f>Cable!Y127</f>
        <v> 580  </v>
      </c>
      <c r="X131" s="114" t="str">
        <f>Cable!Z127</f>
        <v> 480  </v>
      </c>
      <c r="Y131" s="114" t="str">
        <f>Cable!AA127</f>
        <v> 750  </v>
      </c>
      <c r="Z131" s="114" t="str">
        <f>Cable!AB127</f>
        <v> 47.00  </v>
      </c>
      <c r="AA131" s="114" t="str">
        <f>Cable!AC127</f>
        <v> 71.50  </v>
      </c>
    </row>
    <row r="132" spans="3:27" ht="11.25">
      <c r="C132" s="115" t="str">
        <f>Cable!C128</f>
        <v>4cX 630  </v>
      </c>
      <c r="D132" s="115">
        <f>Cable!D128</f>
        <v>0.09</v>
      </c>
      <c r="E132" s="115">
        <f>Cable!E128</f>
        <v>0.086</v>
      </c>
      <c r="F132" s="115">
        <f>Cable!F128</f>
        <v>0.059</v>
      </c>
      <c r="G132" s="115">
        <f>Cable!G128</f>
        <v>0.086</v>
      </c>
      <c r="H132" s="115" t="str">
        <f>Cable!H128</f>
        <v> 405  </v>
      </c>
      <c r="I132" s="115" t="str">
        <f>Cable!I128</f>
        <v> 350  </v>
      </c>
      <c r="J132" s="115" t="str">
        <f>Cable!J128</f>
        <v> 480  </v>
      </c>
      <c r="K132" s="115" t="str">
        <f>Cable!K128</f>
        <v> 555  </v>
      </c>
      <c r="L132" s="115" t="str">
        <f>Cable!L128</f>
        <v> 470  </v>
      </c>
      <c r="M132" s="115" t="str">
        <f>Cable!M128</f>
        <v> 675  </v>
      </c>
      <c r="N132" s="115" t="str">
        <f>Cable!N128</f>
        <v> 47.900  </v>
      </c>
      <c r="O132" s="115" t="str">
        <f>Cable!O128</f>
        <v> 72.500  </v>
      </c>
      <c r="P132" s="114">
        <f>Cable!R128</f>
        <v>0.1</v>
      </c>
      <c r="Q132" s="114">
        <f>Cable!S128</f>
        <v>0.07</v>
      </c>
      <c r="R132" s="114">
        <f>Cable!T128</f>
        <v>0.0602</v>
      </c>
      <c r="S132" s="114">
        <f>Cable!U128</f>
        <v>0.07</v>
      </c>
      <c r="T132" s="114" t="str">
        <f>Cable!V128</f>
        <v> 537  </v>
      </c>
      <c r="U132" s="114" t="str">
        <f>Cable!W128</f>
        <v> 470  </v>
      </c>
      <c r="V132" s="114" t="str">
        <f>Cable!X128</f>
        <v> 723  </v>
      </c>
      <c r="W132" s="114" t="str">
        <f>Cable!Y128</f>
        <v> 680  </v>
      </c>
      <c r="X132" s="114" t="str">
        <f>Cable!Z128</f>
        <v> 575  </v>
      </c>
      <c r="Y132" s="114" t="str">
        <f>Cable!AA128</f>
        <v> 875  </v>
      </c>
      <c r="Z132" s="114" t="str">
        <f>Cable!AB128</f>
        <v> 59.22  </v>
      </c>
      <c r="AA132" s="114" t="str">
        <f>Cable!AC128</f>
        <v> 90.09  </v>
      </c>
    </row>
    <row r="135" spans="3:15" ht="11.25">
      <c r="C135" s="379" t="s">
        <v>71</v>
      </c>
      <c r="D135" s="381" t="s">
        <v>114</v>
      </c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</row>
    <row r="136" spans="3:15" ht="11.25">
      <c r="C136" s="379"/>
      <c r="D136" s="378" t="s">
        <v>101</v>
      </c>
      <c r="E136" s="378"/>
      <c r="F136" s="378" t="s">
        <v>102</v>
      </c>
      <c r="G136" s="378"/>
      <c r="H136" s="382" t="s">
        <v>111</v>
      </c>
      <c r="I136" s="382"/>
      <c r="J136" s="382"/>
      <c r="K136" s="382" t="s">
        <v>102</v>
      </c>
      <c r="L136" s="382"/>
      <c r="M136" s="382"/>
      <c r="N136" s="378" t="s">
        <v>103</v>
      </c>
      <c r="O136" s="378"/>
    </row>
    <row r="137" spans="3:15" ht="11.25">
      <c r="C137" s="379"/>
      <c r="D137" s="113" t="s">
        <v>104</v>
      </c>
      <c r="E137" s="113" t="s">
        <v>105</v>
      </c>
      <c r="F137" s="113" t="s">
        <v>104</v>
      </c>
      <c r="G137" s="113" t="s">
        <v>105</v>
      </c>
      <c r="H137" s="114" t="s">
        <v>51</v>
      </c>
      <c r="I137" s="114" t="s">
        <v>106</v>
      </c>
      <c r="J137" s="114" t="s">
        <v>50</v>
      </c>
      <c r="K137" s="114" t="s">
        <v>51</v>
      </c>
      <c r="L137" s="114" t="s">
        <v>106</v>
      </c>
      <c r="M137" s="114" t="s">
        <v>50</v>
      </c>
      <c r="N137" s="378" t="s">
        <v>101</v>
      </c>
      <c r="O137" s="378" t="s">
        <v>102</v>
      </c>
    </row>
    <row r="138" spans="3:21" ht="11.25">
      <c r="C138" s="114"/>
      <c r="D138" s="114" t="s">
        <v>107</v>
      </c>
      <c r="E138" s="114" t="s">
        <v>107</v>
      </c>
      <c r="F138" s="114" t="s">
        <v>107</v>
      </c>
      <c r="G138" s="114" t="s">
        <v>107</v>
      </c>
      <c r="H138" s="114" t="s">
        <v>0</v>
      </c>
      <c r="I138" s="114" t="s">
        <v>0</v>
      </c>
      <c r="J138" s="114" t="s">
        <v>0</v>
      </c>
      <c r="K138" s="114" t="s">
        <v>0</v>
      </c>
      <c r="L138" s="114" t="s">
        <v>0</v>
      </c>
      <c r="M138" s="114" t="s">
        <v>0</v>
      </c>
      <c r="N138" s="378"/>
      <c r="O138" s="378"/>
      <c r="R138" s="107"/>
      <c r="S138" s="108"/>
      <c r="T138" s="108"/>
      <c r="U138" s="108"/>
    </row>
    <row r="139" spans="3:21" ht="11.25">
      <c r="C139" s="115" t="str">
        <f>Cable!C134</f>
        <v>1cX25</v>
      </c>
      <c r="D139" s="115">
        <f>Cable!D134</f>
        <v>1.1</v>
      </c>
      <c r="E139" s="115">
        <f>Cable!E134</f>
        <v>0.129</v>
      </c>
      <c r="F139" s="115">
        <f>Cable!F134</f>
        <v>1.1</v>
      </c>
      <c r="G139" s="115">
        <f>Cable!G134</f>
        <v>0.129</v>
      </c>
      <c r="H139" s="115" t="str">
        <f>Cable!H134</f>
        <v> 100  </v>
      </c>
      <c r="I139" s="115" t="str">
        <f>Cable!I134</f>
        <v> 90  </v>
      </c>
      <c r="J139" s="115" t="str">
        <f>Cable!J134</f>
        <v> 120  </v>
      </c>
      <c r="K139" s="115" t="str">
        <f>Cable!K134</f>
        <v> 130  </v>
      </c>
      <c r="L139" s="115" t="str">
        <f>Cable!L134</f>
        <v> 115  </v>
      </c>
      <c r="M139" s="115" t="str">
        <f>Cable!M134</f>
        <v> 155  </v>
      </c>
      <c r="N139" s="115" t="str">
        <f>Cable!N134</f>
        <v> 2.35  </v>
      </c>
      <c r="O139" s="115" t="str">
        <f>Cable!O134</f>
        <v> 3.58  </v>
      </c>
      <c r="R139" s="107"/>
      <c r="S139" s="108"/>
      <c r="T139" s="108"/>
      <c r="U139" s="108"/>
    </row>
    <row r="140" spans="3:26" s="110" customFormat="1" ht="11.25">
      <c r="C140" s="115" t="str">
        <f>Cable!C135</f>
        <v>1cX35</v>
      </c>
      <c r="D140" s="115">
        <f>Cable!D135</f>
        <v>1.1</v>
      </c>
      <c r="E140" s="115">
        <f>Cable!E135</f>
        <v>0.129</v>
      </c>
      <c r="F140" s="115">
        <f>Cable!F135</f>
        <v>1.1</v>
      </c>
      <c r="G140" s="115">
        <f>Cable!G135</f>
        <v>0.129</v>
      </c>
      <c r="H140" s="115" t="str">
        <f>Cable!H135</f>
        <v> 120  </v>
      </c>
      <c r="I140" s="115" t="str">
        <f>Cable!I135</f>
        <v> 105  </v>
      </c>
      <c r="J140" s="115" t="str">
        <f>Cable!J135</f>
        <v> 145  </v>
      </c>
      <c r="K140" s="115" t="str">
        <f>Cable!K135</f>
        <v> 155  </v>
      </c>
      <c r="L140" s="115" t="str">
        <f>Cable!L135</f>
        <v> 140  </v>
      </c>
      <c r="M140" s="115" t="str">
        <f>Cable!M135</f>
        <v> 185  </v>
      </c>
      <c r="N140" s="115" t="str">
        <f>Cable!N135</f>
        <v> 3.29  </v>
      </c>
      <c r="O140" s="115" t="str">
        <f>Cable!O135</f>
        <v> 5.00  </v>
      </c>
      <c r="P140" s="80"/>
      <c r="Q140" s="80"/>
      <c r="R140" s="111"/>
      <c r="S140" s="109"/>
      <c r="T140" s="109"/>
      <c r="U140" s="109"/>
      <c r="V140" s="80"/>
      <c r="W140" s="80"/>
      <c r="X140" s="80"/>
      <c r="Y140" s="80"/>
      <c r="Z140" s="80"/>
    </row>
    <row r="141" spans="3:21" ht="11.25">
      <c r="C141" s="115" t="str">
        <f>Cable!C136</f>
        <v>1cX50</v>
      </c>
      <c r="D141" s="115">
        <f>Cable!D136</f>
        <v>0.822</v>
      </c>
      <c r="E141" s="115">
        <f>Cable!E136</f>
        <v>0.1293</v>
      </c>
      <c r="F141" s="115">
        <f>Cable!F136</f>
        <v>0.822</v>
      </c>
      <c r="G141" s="115">
        <f>Cable!G136</f>
        <v>0.1293</v>
      </c>
      <c r="H141" s="115" t="str">
        <f>Cable!H136</f>
        <v> 140  </v>
      </c>
      <c r="I141" s="115" t="str">
        <f>Cable!I136</f>
        <v> 125  </v>
      </c>
      <c r="J141" s="115" t="str">
        <f>Cable!J136</f>
        <v> 170  </v>
      </c>
      <c r="K141" s="115" t="str">
        <f>Cable!K136</f>
        <v> 185  </v>
      </c>
      <c r="L141" s="115" t="str">
        <f>Cable!L136</f>
        <v> 160  </v>
      </c>
      <c r="M141" s="115" t="str">
        <f>Cable!M136</f>
        <v> 220  </v>
      </c>
      <c r="N141" s="115" t="str">
        <f>Cable!N136</f>
        <v> 4.70  </v>
      </c>
      <c r="O141" s="115" t="str">
        <f>Cable!O136</f>
        <v> 7.15  </v>
      </c>
      <c r="R141" s="107"/>
      <c r="S141" s="108"/>
      <c r="T141" s="108"/>
      <c r="U141" s="108"/>
    </row>
    <row r="142" spans="3:21" ht="11.25">
      <c r="C142" s="115" t="str">
        <f>Cable!C137</f>
        <v>1cX70</v>
      </c>
      <c r="D142" s="115">
        <f>Cable!D137</f>
        <v>0.568</v>
      </c>
      <c r="E142" s="115">
        <f>Cable!E137</f>
        <v>0.1195</v>
      </c>
      <c r="F142" s="115">
        <f>Cable!F137</f>
        <v>0.568</v>
      </c>
      <c r="G142" s="115">
        <f>Cable!G137</f>
        <v>0.1195</v>
      </c>
      <c r="H142" s="115" t="str">
        <f>Cable!H137</f>
        <v> 175  </v>
      </c>
      <c r="I142" s="115" t="str">
        <f>Cable!I137</f>
        <v> 155  </v>
      </c>
      <c r="J142" s="115" t="str">
        <f>Cable!J137</f>
        <v> 215  </v>
      </c>
      <c r="K142" s="115" t="str">
        <f>Cable!K137</f>
        <v> 225  </v>
      </c>
      <c r="L142" s="115" t="str">
        <f>Cable!L137</f>
        <v> 195  </v>
      </c>
      <c r="M142" s="115" t="str">
        <f>Cable!M137</f>
        <v> 275  </v>
      </c>
      <c r="N142" s="115" t="str">
        <f>Cable!N137</f>
        <v> 6.58  </v>
      </c>
      <c r="O142" s="115" t="str">
        <f>Cable!O137</f>
        <v> 10.01  </v>
      </c>
      <c r="R142" s="107"/>
      <c r="S142" s="108"/>
      <c r="T142" s="108"/>
      <c r="U142" s="108"/>
    </row>
    <row r="143" spans="3:21" ht="11.25">
      <c r="C143" s="115" t="str">
        <f>Cable!C138</f>
        <v>1cX95</v>
      </c>
      <c r="D143" s="115">
        <f>Cable!D138</f>
        <v>0.411</v>
      </c>
      <c r="E143" s="115">
        <f>Cable!E138</f>
        <v>0.113</v>
      </c>
      <c r="F143" s="115">
        <f>Cable!F138</f>
        <v>0.411</v>
      </c>
      <c r="G143" s="115">
        <f>Cable!G138</f>
        <v>0.113</v>
      </c>
      <c r="H143" s="115" t="str">
        <f>Cable!H138</f>
        <v> 205  </v>
      </c>
      <c r="I143" s="115" t="str">
        <f>Cable!I138</f>
        <v> 180  </v>
      </c>
      <c r="J143" s="115" t="str">
        <f>Cable!J138</f>
        <v> 260  </v>
      </c>
      <c r="K143" s="115" t="str">
        <f>Cable!K138</f>
        <v> 265  </v>
      </c>
      <c r="L143" s="115" t="str">
        <f>Cable!L138</f>
        <v> 235  </v>
      </c>
      <c r="M143" s="115" t="str">
        <f>Cable!M138</f>
        <v> 340  </v>
      </c>
      <c r="N143" s="115" t="str">
        <f>Cable!N138</f>
        <v> 8.93  </v>
      </c>
      <c r="O143" s="115" t="str">
        <f>Cable!O138</f>
        <v> 13.59  </v>
      </c>
      <c r="R143" s="107"/>
      <c r="S143" s="108"/>
      <c r="T143" s="108"/>
      <c r="U143" s="108"/>
    </row>
    <row r="144" spans="3:21" ht="11.25">
      <c r="C144" s="115" t="str">
        <f>Cable!C139</f>
        <v>1cX120</v>
      </c>
      <c r="D144" s="115">
        <f>Cable!D139</f>
        <v>0.325</v>
      </c>
      <c r="E144" s="115">
        <f>Cable!E139</f>
        <v>0.1085</v>
      </c>
      <c r="F144" s="115">
        <f>Cable!F139</f>
        <v>0.325</v>
      </c>
      <c r="G144" s="115">
        <f>Cable!G139</f>
        <v>0.1085</v>
      </c>
      <c r="H144" s="115" t="str">
        <f>Cable!H139</f>
        <v> 235  </v>
      </c>
      <c r="I144" s="115" t="str">
        <f>Cable!I139</f>
        <v> 205  </v>
      </c>
      <c r="J144" s="115" t="str">
        <f>Cable!J139</f>
        <v> 305  </v>
      </c>
      <c r="K144" s="115" t="str">
        <f>Cable!K139</f>
        <v> 300  </v>
      </c>
      <c r="L144" s="115" t="str">
        <f>Cable!L139</f>
        <v> 265  </v>
      </c>
      <c r="M144" s="115" t="str">
        <f>Cable!M139</f>
        <v> 390  </v>
      </c>
      <c r="N144" s="115" t="str">
        <f>Cable!N139</f>
        <v> 11.28  </v>
      </c>
      <c r="O144" s="115" t="str">
        <f>Cable!O139</f>
        <v> 17.16  </v>
      </c>
      <c r="R144" s="107"/>
      <c r="S144" s="108"/>
      <c r="T144" s="108"/>
      <c r="U144" s="108"/>
    </row>
    <row r="145" spans="3:21" ht="11.25">
      <c r="C145" s="115" t="str">
        <f>Cable!C140</f>
        <v>1cX150  </v>
      </c>
      <c r="D145" s="115">
        <f>Cable!D140</f>
        <v>0.265</v>
      </c>
      <c r="E145" s="115">
        <f>Cable!E140</f>
        <v>0.1062</v>
      </c>
      <c r="F145" s="115">
        <f>Cable!F140</f>
        <v>0.265</v>
      </c>
      <c r="G145" s="115">
        <f>Cable!G140</f>
        <v>0.1062</v>
      </c>
      <c r="H145" s="115" t="str">
        <f>Cable!H140</f>
        <v> 260  </v>
      </c>
      <c r="I145" s="115" t="str">
        <f>Cable!I140</f>
        <v> 230  </v>
      </c>
      <c r="J145" s="115" t="str">
        <f>Cable!J140</f>
        <v> 345  </v>
      </c>
      <c r="K145" s="115" t="str">
        <f>Cable!K140</f>
        <v> 335  </v>
      </c>
      <c r="L145" s="115" t="str">
        <f>Cable!L140</f>
        <v> 295  </v>
      </c>
      <c r="M145" s="115" t="str">
        <f>Cable!M140</f>
        <v> 440  </v>
      </c>
      <c r="N145" s="115" t="str">
        <f>Cable!N140</f>
        <v> 14.10  </v>
      </c>
      <c r="O145" s="115" t="str">
        <f>Cable!O140</f>
        <v> 21.45  </v>
      </c>
      <c r="R145" s="107"/>
      <c r="S145" s="108"/>
      <c r="T145" s="108"/>
      <c r="U145" s="108"/>
    </row>
    <row r="146" spans="3:21" ht="11.25">
      <c r="C146" s="115" t="str">
        <f>Cable!C141</f>
        <v>1cX185  </v>
      </c>
      <c r="D146" s="115">
        <f>Cable!D141</f>
        <v>0.211</v>
      </c>
      <c r="E146" s="115">
        <f>Cable!E141</f>
        <v>0.1025</v>
      </c>
      <c r="F146" s="115">
        <f>Cable!F141</f>
        <v>0.211</v>
      </c>
      <c r="G146" s="115">
        <f>Cable!G141</f>
        <v>0.1025</v>
      </c>
      <c r="H146" s="115" t="str">
        <f>Cable!H141</f>
        <v> 295  </v>
      </c>
      <c r="I146" s="115" t="str">
        <f>Cable!I141</f>
        <v> 260  </v>
      </c>
      <c r="J146" s="115" t="str">
        <f>Cable!J141</f>
        <v> 395  </v>
      </c>
      <c r="K146" s="115" t="str">
        <f>Cable!K141</f>
        <v> 380  </v>
      </c>
      <c r="L146" s="115" t="str">
        <f>Cable!L141</f>
        <v> 330  </v>
      </c>
      <c r="M146" s="115" t="str">
        <f>Cable!M141</f>
        <v> 510  </v>
      </c>
      <c r="N146" s="115" t="str">
        <f>Cable!N141</f>
        <v> 17.39  </v>
      </c>
      <c r="O146" s="115" t="str">
        <f>Cable!O141</f>
        <v> 26.46  </v>
      </c>
      <c r="R146" s="107"/>
      <c r="S146" s="108"/>
      <c r="T146" s="108"/>
      <c r="U146" s="108"/>
    </row>
    <row r="147" spans="3:21" ht="11.25">
      <c r="C147" s="115" t="str">
        <f>Cable!C142</f>
        <v>1cX240  </v>
      </c>
      <c r="D147" s="115">
        <f>Cable!D142</f>
        <v>0.161</v>
      </c>
      <c r="E147" s="115">
        <f>Cable!E142</f>
        <v>0.1011</v>
      </c>
      <c r="F147" s="115">
        <f>Cable!F142</f>
        <v>0.161</v>
      </c>
      <c r="G147" s="115">
        <f>Cable!G142</f>
        <v>0.1011</v>
      </c>
      <c r="H147" s="115" t="str">
        <f>Cable!H142</f>
        <v> 340  </v>
      </c>
      <c r="I147" s="115" t="str">
        <f>Cable!I142</f>
        <v> 300  </v>
      </c>
      <c r="J147" s="115" t="str">
        <f>Cable!J142</f>
        <v> 470  </v>
      </c>
      <c r="K147" s="115" t="str">
        <f>Cable!K142</f>
        <v> 435  </v>
      </c>
      <c r="L147" s="115" t="str">
        <f>Cable!L142</f>
        <v> 380  </v>
      </c>
      <c r="M147" s="115" t="str">
        <f>Cable!M142</f>
        <v> 600  </v>
      </c>
      <c r="N147" s="115" t="str">
        <f>Cable!N142</f>
        <v> 22.56  </v>
      </c>
      <c r="O147" s="115" t="str">
        <f>Cable!O142</f>
        <v> 34.32  </v>
      </c>
      <c r="R147" s="107"/>
      <c r="S147" s="108"/>
      <c r="T147" s="108"/>
      <c r="U147" s="108"/>
    </row>
    <row r="148" spans="3:21" ht="11.25">
      <c r="C148" s="115" t="str">
        <f>Cable!C143</f>
        <v>1cX300  </v>
      </c>
      <c r="D148" s="115">
        <f>Cable!D143</f>
        <v>0.13</v>
      </c>
      <c r="E148" s="115">
        <f>Cable!E143</f>
        <v>0.0988</v>
      </c>
      <c r="F148" s="115">
        <f>Cable!F143</f>
        <v>0.13</v>
      </c>
      <c r="G148" s="115">
        <f>Cable!G143</f>
        <v>0.0988</v>
      </c>
      <c r="H148" s="115" t="str">
        <f>Cable!H143</f>
        <v> 385  </v>
      </c>
      <c r="I148" s="115" t="str">
        <f>Cable!I143</f>
        <v> 335  </v>
      </c>
      <c r="J148" s="115" t="str">
        <f>Cable!J143</f>
        <v> 540  </v>
      </c>
      <c r="K148" s="115" t="str">
        <f>Cable!K143</f>
        <v> 490  </v>
      </c>
      <c r="L148" s="115" t="str">
        <f>Cable!L143</f>
        <v> 425  </v>
      </c>
      <c r="M148" s="115" t="str">
        <f>Cable!M143</f>
        <v> 680  </v>
      </c>
      <c r="N148" s="115" t="str">
        <f>Cable!N143</f>
        <v> 28.20  </v>
      </c>
      <c r="O148" s="115" t="str">
        <f>Cable!O143</f>
        <v> 42.90  </v>
      </c>
      <c r="R148" s="107"/>
      <c r="S148" s="108"/>
      <c r="T148" s="108"/>
      <c r="U148" s="108"/>
    </row>
    <row r="149" spans="3:20" ht="11.25">
      <c r="C149" s="115" t="str">
        <f>Cable!C144</f>
        <v>1cX400  </v>
      </c>
      <c r="D149" s="115">
        <f>Cable!D144</f>
        <v>0.102</v>
      </c>
      <c r="E149" s="115">
        <f>Cable!E144</f>
        <v>0.0959</v>
      </c>
      <c r="F149" s="115">
        <f>Cable!F144</f>
        <v>0.102</v>
      </c>
      <c r="G149" s="115">
        <f>Cable!G144</f>
        <v>0.0959</v>
      </c>
      <c r="H149" s="115" t="str">
        <f>Cable!H144</f>
        <v> 0.57  </v>
      </c>
      <c r="I149" s="115" t="str">
        <f>Cable!I144</f>
        <v> 440  </v>
      </c>
      <c r="J149" s="115" t="str">
        <f>Cable!J144</f>
        <v> 380  </v>
      </c>
      <c r="K149" s="115" t="str">
        <f>Cable!K144</f>
        <v> 630  </v>
      </c>
      <c r="L149" s="115" t="str">
        <f>Cable!L144</f>
        <v> 550  </v>
      </c>
      <c r="M149" s="115" t="str">
        <f>Cable!M144</f>
        <v> 480  </v>
      </c>
      <c r="N149" s="115" t="str">
        <f>Cable!N144</f>
        <v> 790  </v>
      </c>
      <c r="O149" s="115" t="str">
        <f>Cable!O144</f>
        <v> 37.60  </v>
      </c>
      <c r="R149" s="107"/>
      <c r="S149" s="108"/>
      <c r="T149" s="108"/>
    </row>
    <row r="150" spans="3:20" ht="11.25">
      <c r="C150" s="115" t="str">
        <f>Cable!C145</f>
        <v>1cX 500  </v>
      </c>
      <c r="D150" s="115">
        <f>Cable!D145</f>
        <v>0.08</v>
      </c>
      <c r="E150" s="115">
        <f>Cable!E145</f>
        <v>0.0936</v>
      </c>
      <c r="F150" s="115">
        <f>Cable!F145</f>
        <v>0.08</v>
      </c>
      <c r="G150" s="115">
        <f>Cable!G145</f>
        <v>0.0936</v>
      </c>
      <c r="H150" s="115" t="str">
        <f>Cable!H145</f>
        <v> 0.60  </v>
      </c>
      <c r="I150" s="115" t="str">
        <f>Cable!I145</f>
        <v> 495  </v>
      </c>
      <c r="J150" s="115" t="str">
        <f>Cable!J145</f>
        <v> 430  </v>
      </c>
      <c r="K150" s="115" t="str">
        <f>Cable!K145</f>
        <v> 730  </v>
      </c>
      <c r="L150" s="115" t="str">
        <f>Cable!L145</f>
        <v> 610  </v>
      </c>
      <c r="M150" s="115" t="str">
        <f>Cable!M145</f>
        <v> 530  </v>
      </c>
      <c r="N150" s="115" t="str">
        <f>Cable!N145</f>
        <v> 910  </v>
      </c>
      <c r="O150" s="115" t="str">
        <f>Cable!O145</f>
        <v> 47.00  </v>
      </c>
      <c r="R150" s="107"/>
      <c r="S150" s="108"/>
      <c r="T150" s="108"/>
    </row>
    <row r="151" spans="3:20" ht="11.25">
      <c r="C151" s="115" t="str">
        <f>Cable!C146</f>
        <v>1cX 630  </v>
      </c>
      <c r="D151" s="115">
        <f>Cable!D146</f>
        <v>0.063</v>
      </c>
      <c r="E151" s="115">
        <f>Cable!E146</f>
        <v>0.0919</v>
      </c>
      <c r="F151" s="115">
        <f>Cable!F146</f>
        <v>0.063</v>
      </c>
      <c r="G151" s="115">
        <f>Cable!G146</f>
        <v>0.0919</v>
      </c>
      <c r="H151" s="115" t="str">
        <f>Cable!H146</f>
        <v> 0.67  </v>
      </c>
      <c r="I151" s="115" t="str">
        <f>Cable!I146</f>
        <v> 560  </v>
      </c>
      <c r="J151" s="115" t="str">
        <f>Cable!J146</f>
        <v> 480  </v>
      </c>
      <c r="K151" s="115" t="str">
        <f>Cable!K146</f>
        <v> 840  </v>
      </c>
      <c r="L151" s="115" t="str">
        <f>Cable!L146</f>
        <v> 680  </v>
      </c>
      <c r="M151" s="115" t="str">
        <f>Cable!M146</f>
        <v> 580  </v>
      </c>
      <c r="N151" s="115" t="str">
        <f>Cable!N146</f>
        <v> 1030  </v>
      </c>
      <c r="O151" s="115" t="str">
        <f>Cable!O146</f>
        <v> 59.22  </v>
      </c>
      <c r="R151" s="107"/>
      <c r="S151" s="108"/>
      <c r="T151" s="108"/>
    </row>
    <row r="152" spans="3:20" ht="11.25">
      <c r="C152" s="115" t="str">
        <f>Cable!C147</f>
        <v>1cX800  </v>
      </c>
      <c r="D152" s="115">
        <f>Cable!D147</f>
        <v>0.0513</v>
      </c>
      <c r="E152" s="115">
        <f>Cable!E147</f>
        <v>0.0895</v>
      </c>
      <c r="F152" s="115">
        <f>Cable!F147</f>
        <v>0.0513</v>
      </c>
      <c r="G152" s="115">
        <f>Cable!G147</f>
        <v>0.0895</v>
      </c>
      <c r="H152" s="115" t="str">
        <f>Cable!H147</f>
        <v> 0.76  </v>
      </c>
      <c r="I152" s="115" t="str">
        <f>Cable!I147</f>
        <v> 620  </v>
      </c>
      <c r="J152" s="115" t="str">
        <f>Cable!J147</f>
        <v> 530  </v>
      </c>
      <c r="K152" s="115" t="str">
        <f>Cable!K147</f>
        <v> 960  </v>
      </c>
      <c r="L152" s="115" t="str">
        <f>Cable!L147</f>
        <v> 740  </v>
      </c>
      <c r="M152" s="115" t="str">
        <f>Cable!M147</f>
        <v> 630  </v>
      </c>
      <c r="N152" s="115" t="str">
        <f>Cable!N147</f>
        <v> 1140  </v>
      </c>
      <c r="O152" s="115" t="str">
        <f>Cable!O147</f>
        <v> 75.20  </v>
      </c>
      <c r="R152" s="107"/>
      <c r="S152" s="108"/>
      <c r="T152" s="108"/>
    </row>
    <row r="153" spans="3:20" ht="11.25">
      <c r="C153" s="115" t="str">
        <f>Cable!C148</f>
        <v>1cX1000  </v>
      </c>
      <c r="D153" s="115">
        <f>Cable!D148</f>
        <v>0.0426</v>
      </c>
      <c r="E153" s="115">
        <f>Cable!E148</f>
        <v>0.0875</v>
      </c>
      <c r="F153" s="115">
        <f>Cable!F148</f>
        <v>0.0426</v>
      </c>
      <c r="G153" s="115">
        <f>Cable!G148</f>
        <v>0.0875</v>
      </c>
      <c r="H153" s="115" t="str">
        <f>Cable!H148</f>
        <v> 0.82  </v>
      </c>
      <c r="I153" s="115" t="str">
        <f>Cable!I148</f>
        <v> 680  </v>
      </c>
      <c r="J153" s="115" t="str">
        <f>Cable!J148</f>
        <v> 580  </v>
      </c>
      <c r="K153" s="115" t="str">
        <f>Cable!K148</f>
        <v> 1070  </v>
      </c>
      <c r="L153" s="115" t="str">
        <f>Cable!L148</f>
        <v> 790  </v>
      </c>
      <c r="M153" s="115" t="str">
        <f>Cable!M148</f>
        <v> 670  </v>
      </c>
      <c r="N153" s="115" t="str">
        <f>Cable!N148</f>
        <v> 1250  </v>
      </c>
      <c r="O153" s="115" t="str">
        <f>Cable!O148</f>
        <v> 94.00  </v>
      </c>
      <c r="R153" s="107"/>
      <c r="S153" s="108"/>
      <c r="T153" s="108"/>
    </row>
    <row r="154" spans="3:20" ht="11.25">
      <c r="C154" s="115" t="str">
        <f>Cable!C149</f>
        <v>3cX 25  </v>
      </c>
      <c r="D154" s="115">
        <f>Cable!D149</f>
        <v>1.1</v>
      </c>
      <c r="E154" s="115">
        <f>Cable!E149</f>
        <v>0.134</v>
      </c>
      <c r="F154" s="115">
        <f>Cable!F149</f>
        <v>1.1</v>
      </c>
      <c r="G154" s="115">
        <f>Cable!G149</f>
        <v>0.134</v>
      </c>
      <c r="H154" s="115" t="str">
        <f>Cable!H149</f>
        <v> 95  </v>
      </c>
      <c r="I154" s="115" t="str">
        <f>Cable!I149</f>
        <v> 82  </v>
      </c>
      <c r="J154" s="115" t="str">
        <f>Cable!J149</f>
        <v> 105  </v>
      </c>
      <c r="K154" s="115" t="str">
        <f>Cable!K149</f>
        <v> 120  </v>
      </c>
      <c r="L154" s="115" t="str">
        <f>Cable!L149</f>
        <v> 105  </v>
      </c>
      <c r="M154" s="115" t="str">
        <f>Cable!M149</f>
        <v> 135  </v>
      </c>
      <c r="N154" s="115" t="str">
        <f>Cable!N149</f>
        <v> 2.35  </v>
      </c>
      <c r="O154" s="115" t="str">
        <f>Cable!O149</f>
        <v> 3.58  </v>
      </c>
      <c r="R154" s="107"/>
      <c r="S154" s="108"/>
      <c r="T154" s="108"/>
    </row>
    <row r="155" spans="3:20" ht="11.25">
      <c r="C155" s="115" t="str">
        <f>Cable!C150</f>
        <v>3cX 35  </v>
      </c>
      <c r="D155" s="115">
        <f>Cable!D150</f>
        <v>1.1</v>
      </c>
      <c r="E155" s="115">
        <f>Cable!E150</f>
        <v>0.134</v>
      </c>
      <c r="F155" s="115">
        <f>Cable!F150</f>
        <v>1.1</v>
      </c>
      <c r="G155" s="115">
        <f>Cable!G150</f>
        <v>0.134</v>
      </c>
      <c r="H155" s="115" t="str">
        <f>Cable!H150</f>
        <v> 115  </v>
      </c>
      <c r="I155" s="115" t="str">
        <f>Cable!I150</f>
        <v> 97  </v>
      </c>
      <c r="J155" s="115" t="str">
        <f>Cable!J150</f>
        <v> 125  </v>
      </c>
      <c r="K155" s="115" t="str">
        <f>Cable!K150</f>
        <v> 145  </v>
      </c>
      <c r="L155" s="115" t="str">
        <f>Cable!L150</f>
        <v> 125  </v>
      </c>
      <c r="M155" s="115" t="str">
        <f>Cable!M150</f>
        <v> 165  </v>
      </c>
      <c r="N155" s="115" t="str">
        <f>Cable!N150</f>
        <v> 3.29  </v>
      </c>
      <c r="O155" s="115" t="str">
        <f>Cable!O150</f>
        <v> 5.01  </v>
      </c>
      <c r="R155" s="107"/>
      <c r="S155" s="108"/>
      <c r="T155" s="108"/>
    </row>
    <row r="156" spans="3:20" ht="11.25">
      <c r="C156" s="115" t="str">
        <f>Cable!C151</f>
        <v>3cX 50  </v>
      </c>
      <c r="D156" s="115">
        <f>Cable!D151</f>
        <v>0.822</v>
      </c>
      <c r="E156" s="115">
        <f>Cable!E151</f>
        <v>0.1358</v>
      </c>
      <c r="F156" s="115">
        <f>Cable!F151</f>
        <v>0.822</v>
      </c>
      <c r="G156" s="115">
        <f>Cable!G151</f>
        <v>0.1358</v>
      </c>
      <c r="H156" s="115" t="str">
        <f>Cable!H151</f>
        <v> 130  </v>
      </c>
      <c r="I156" s="115" t="str">
        <f>Cable!I151</f>
        <v> 115  </v>
      </c>
      <c r="J156" s="115" t="str">
        <f>Cable!J151</f>
        <v> 150  </v>
      </c>
      <c r="K156" s="115" t="str">
        <f>Cable!K151</f>
        <v> 170  </v>
      </c>
      <c r="L156" s="115" t="str">
        <f>Cable!L151</f>
        <v> 150  </v>
      </c>
      <c r="M156" s="115" t="str">
        <f>Cable!M151</f>
        <v> 195  </v>
      </c>
      <c r="N156" s="115" t="str">
        <f>Cable!N151</f>
        <v> 4.70  </v>
      </c>
      <c r="O156" s="115" t="str">
        <f>Cable!O151</f>
        <v> 7.15  </v>
      </c>
      <c r="R156" s="107"/>
      <c r="S156" s="108"/>
      <c r="T156" s="108"/>
    </row>
    <row r="157" spans="3:20" ht="11.25">
      <c r="C157" s="115" t="str">
        <f>Cable!C152</f>
        <v>3cX 70  </v>
      </c>
      <c r="D157" s="115">
        <f>Cable!D152</f>
        <v>0.568</v>
      </c>
      <c r="E157" s="115">
        <f>Cable!E152</f>
        <v>0.1237</v>
      </c>
      <c r="F157" s="115">
        <f>Cable!F152</f>
        <v>0.568</v>
      </c>
      <c r="G157" s="115">
        <f>Cable!G152</f>
        <v>0.1237</v>
      </c>
      <c r="H157" s="115" t="str">
        <f>Cable!H152</f>
        <v> 160  </v>
      </c>
      <c r="I157" s="115" t="str">
        <f>Cable!I152</f>
        <v> 140  </v>
      </c>
      <c r="J157" s="115" t="str">
        <f>Cable!J152</f>
        <v> 190  </v>
      </c>
      <c r="K157" s="115" t="str">
        <f>Cable!K152</f>
        <v> 210  </v>
      </c>
      <c r="L157" s="115" t="str">
        <f>Cable!L152</f>
        <v> 180  </v>
      </c>
      <c r="M157" s="115" t="str">
        <f>Cable!M152</f>
        <v> 240  </v>
      </c>
      <c r="N157" s="115" t="str">
        <f>Cable!N152</f>
        <v> 6.58  </v>
      </c>
      <c r="O157" s="115" t="str">
        <f>Cable!O152</f>
        <v> 10.01  </v>
      </c>
      <c r="R157" s="107"/>
      <c r="S157" s="108"/>
      <c r="T157" s="108"/>
    </row>
    <row r="158" spans="3:20" ht="11.25">
      <c r="C158" s="115" t="str">
        <f>Cable!C153</f>
        <v>3cX 95  </v>
      </c>
      <c r="D158" s="115">
        <f>Cable!D153</f>
        <v>0.411</v>
      </c>
      <c r="E158" s="115">
        <f>Cable!E153</f>
        <v>0.1168</v>
      </c>
      <c r="F158" s="115">
        <f>Cable!F153</f>
        <v>0.411</v>
      </c>
      <c r="G158" s="115">
        <f>Cable!G153</f>
        <v>0.1168</v>
      </c>
      <c r="H158" s="115" t="str">
        <f>Cable!H153</f>
        <v> 190  </v>
      </c>
      <c r="I158" s="115" t="str">
        <f>Cable!I153</f>
        <v> 165  </v>
      </c>
      <c r="J158" s="115" t="str">
        <f>Cable!J153</f>
        <v> 230  </v>
      </c>
      <c r="K158" s="115" t="str">
        <f>Cable!K153</f>
        <v> 250  </v>
      </c>
      <c r="L158" s="115" t="str">
        <f>Cable!L153</f>
        <v> 215  </v>
      </c>
      <c r="M158" s="115" t="str">
        <f>Cable!M153</f>
        <v> 295  </v>
      </c>
      <c r="N158" s="115" t="str">
        <f>Cable!N153</f>
        <v> 8.93  </v>
      </c>
      <c r="O158" s="115" t="str">
        <f>Cable!O153</f>
        <v> 13.59  </v>
      </c>
      <c r="R158" s="107"/>
      <c r="S158" s="108"/>
      <c r="T158" s="108"/>
    </row>
    <row r="159" spans="3:20" ht="11.25">
      <c r="C159" s="115" t="str">
        <f>Cable!C154</f>
        <v>3cX 120  </v>
      </c>
      <c r="D159" s="115">
        <f>Cable!D154</f>
        <v>0.325</v>
      </c>
      <c r="E159" s="115">
        <f>Cable!E154</f>
        <v>0.1128</v>
      </c>
      <c r="F159" s="115">
        <f>Cable!F154</f>
        <v>0.325</v>
      </c>
      <c r="G159" s="115">
        <f>Cable!G154</f>
        <v>0.1128</v>
      </c>
      <c r="H159" s="115" t="str">
        <f>Cable!H154</f>
        <v> 220  </v>
      </c>
      <c r="I159" s="115" t="str">
        <f>Cable!I154</f>
        <v> 190  </v>
      </c>
      <c r="J159" s="115" t="str">
        <f>Cable!J154</f>
        <v> 260  </v>
      </c>
      <c r="K159" s="115" t="str">
        <f>Cable!K154</f>
        <v> 280  </v>
      </c>
      <c r="L159" s="115" t="str">
        <f>Cable!L154</f>
        <v> 240  </v>
      </c>
      <c r="M159" s="115" t="str">
        <f>Cable!M154</f>
        <v> 335  </v>
      </c>
      <c r="N159" s="115" t="str">
        <f>Cable!N154</f>
        <v> 11.28  </v>
      </c>
      <c r="O159" s="115" t="str">
        <f>Cable!O154</f>
        <v> 17.16  </v>
      </c>
      <c r="R159" s="107"/>
      <c r="S159" s="108"/>
      <c r="T159" s="108"/>
    </row>
    <row r="160" spans="3:20" ht="11.25">
      <c r="C160" s="115" t="str">
        <f>Cable!C155</f>
        <v>3cX 150  </v>
      </c>
      <c r="D160" s="115">
        <f>Cable!D155</f>
        <v>0.265</v>
      </c>
      <c r="E160" s="115">
        <f>Cable!E155</f>
        <v>0.1096</v>
      </c>
      <c r="F160" s="115">
        <f>Cable!F155</f>
        <v>0.265</v>
      </c>
      <c r="G160" s="115">
        <f>Cable!G155</f>
        <v>0.1096</v>
      </c>
      <c r="H160" s="115" t="str">
        <f>Cable!H155</f>
        <v> 245  </v>
      </c>
      <c r="I160" s="115" t="str">
        <f>Cable!I155</f>
        <v> 210  </v>
      </c>
      <c r="J160" s="115" t="str">
        <f>Cable!J155</f>
        <v> 295  </v>
      </c>
      <c r="K160" s="115" t="str">
        <f>Cable!K155</f>
        <v> 310  </v>
      </c>
      <c r="L160" s="115" t="str">
        <f>Cable!L155</f>
        <v> 270  </v>
      </c>
      <c r="M160" s="115" t="str">
        <f>Cable!M155</f>
        <v> 380  </v>
      </c>
      <c r="N160" s="115" t="str">
        <f>Cable!N155</f>
        <v> 14.10  </v>
      </c>
      <c r="O160" s="115" t="str">
        <f>Cable!O155</f>
        <v> 21.45  </v>
      </c>
      <c r="R160" s="107"/>
      <c r="S160" s="108"/>
      <c r="T160" s="108"/>
    </row>
    <row r="161" spans="3:20" ht="11.25">
      <c r="C161" s="115" t="str">
        <f>Cable!C156</f>
        <v>3cX 185  </v>
      </c>
      <c r="D161" s="115">
        <f>Cable!D156</f>
        <v>0.211</v>
      </c>
      <c r="E161" s="115">
        <f>Cable!E156</f>
        <v>0.1073</v>
      </c>
      <c r="F161" s="115">
        <f>Cable!F156</f>
        <v>0.211</v>
      </c>
      <c r="G161" s="115">
        <f>Cable!G156</f>
        <v>0.1073</v>
      </c>
      <c r="H161" s="115" t="str">
        <f>Cable!H156</f>
        <v> 275  </v>
      </c>
      <c r="I161" s="115" t="str">
        <f>Cable!I156</f>
        <v> 240  </v>
      </c>
      <c r="J161" s="115" t="str">
        <f>Cable!J156</f>
        <v> 335  </v>
      </c>
      <c r="K161" s="115" t="str">
        <f>Cable!K156</f>
        <v> 350  </v>
      </c>
      <c r="L161" s="115" t="str">
        <f>Cable!L156</f>
        <v> 305  </v>
      </c>
      <c r="M161" s="115" t="str">
        <f>Cable!M156</f>
        <v> 430  </v>
      </c>
      <c r="N161" s="115" t="str">
        <f>Cable!N156</f>
        <v> 17.39  </v>
      </c>
      <c r="O161" s="115" t="str">
        <f>Cable!O156</f>
        <v> 26.46  </v>
      </c>
      <c r="R161" s="107"/>
      <c r="S161" s="108"/>
      <c r="T161" s="108"/>
    </row>
    <row r="162" spans="3:20" ht="11.25">
      <c r="C162" s="115" t="str">
        <f>Cable!C157</f>
        <v>3cX 240  </v>
      </c>
      <c r="D162" s="115">
        <f>Cable!D157</f>
        <v>0.161</v>
      </c>
      <c r="E162" s="115">
        <f>Cable!E157</f>
        <v>0.1041</v>
      </c>
      <c r="F162" s="115">
        <f>Cable!F157</f>
        <v>0.161</v>
      </c>
      <c r="G162" s="115">
        <f>Cable!G157</f>
        <v>0.1041</v>
      </c>
      <c r="H162" s="115" t="str">
        <f>Cable!H157</f>
        <v> 315  </v>
      </c>
      <c r="I162" s="115" t="str">
        <f>Cable!I157</f>
        <v> 275  </v>
      </c>
      <c r="J162" s="115" t="str">
        <f>Cable!J157</f>
        <v> 395  </v>
      </c>
      <c r="K162" s="115" t="str">
        <f>Cable!K157</f>
        <v> 400  </v>
      </c>
      <c r="L162" s="115" t="str">
        <f>Cable!L157</f>
        <v> 350  </v>
      </c>
      <c r="M162" s="115" t="str">
        <f>Cable!M157</f>
        <v> 500  </v>
      </c>
      <c r="N162" s="115" t="str">
        <f>Cable!N157</f>
        <v> 22.56  </v>
      </c>
      <c r="O162" s="115" t="str">
        <f>Cable!O157</f>
        <v> 34.32  </v>
      </c>
      <c r="R162" s="107"/>
      <c r="S162" s="108"/>
      <c r="T162" s="108"/>
    </row>
    <row r="163" spans="3:20" ht="11.25">
      <c r="C163" s="115" t="str">
        <f>Cable!C158</f>
        <v>3cX 300  </v>
      </c>
      <c r="D163" s="115">
        <f>Cable!D158</f>
        <v>0.13</v>
      </c>
      <c r="E163" s="115">
        <f>Cable!E158</f>
        <v>0.1002</v>
      </c>
      <c r="F163" s="115">
        <f>Cable!F158</f>
        <v>0.13</v>
      </c>
      <c r="G163" s="115">
        <f>Cable!G158</f>
        <v>0.1002</v>
      </c>
      <c r="H163" s="115" t="str">
        <f>Cable!H158</f>
        <v> 355  </v>
      </c>
      <c r="I163" s="115" t="str">
        <f>Cable!I158</f>
        <v> 310  </v>
      </c>
      <c r="J163" s="115" t="str">
        <f>Cable!J158</f>
        <v> 450  </v>
      </c>
      <c r="K163" s="115" t="str">
        <f>Cable!K158</f>
        <v> 445  </v>
      </c>
      <c r="L163" s="115" t="str">
        <f>Cable!L158</f>
        <v> 390  </v>
      </c>
      <c r="M163" s="115" t="str">
        <f>Cable!M158</f>
        <v> 570  </v>
      </c>
      <c r="N163" s="115" t="str">
        <f>Cable!N158</f>
        <v> 28.20  </v>
      </c>
      <c r="O163" s="115" t="str">
        <f>Cable!O158</f>
        <v> 42.90  </v>
      </c>
      <c r="R163" s="107"/>
      <c r="S163" s="108"/>
      <c r="T163" s="108"/>
    </row>
    <row r="164" spans="3:19" ht="11.25">
      <c r="C164" s="115" t="str">
        <f>Cable!C159</f>
        <v>3cX 400  </v>
      </c>
      <c r="D164" s="115">
        <f>Cable!D159</f>
        <v>0.102</v>
      </c>
      <c r="E164" s="115">
        <f>Cable!E159</f>
        <v>0.0968</v>
      </c>
      <c r="F164" s="115">
        <f>Cable!F159</f>
        <v>0.102</v>
      </c>
      <c r="G164" s="115">
        <f>Cable!G159</f>
        <v>0.0968</v>
      </c>
      <c r="H164" s="115" t="str">
        <f>Cable!H159</f>
        <v> 400  </v>
      </c>
      <c r="I164" s="115" t="str">
        <f>Cable!I159</f>
        <v> 350  </v>
      </c>
      <c r="J164" s="115" t="str">
        <f>Cable!J159</f>
        <v> 520  </v>
      </c>
      <c r="K164" s="115" t="str">
        <f>Cable!K159</f>
        <v> 500  </v>
      </c>
      <c r="L164" s="115" t="str">
        <f>Cable!L159</f>
        <v> 440  </v>
      </c>
      <c r="M164" s="115" t="str">
        <f>Cable!M159</f>
        <v> 650  </v>
      </c>
      <c r="N164" s="115" t="str">
        <f>Cable!N159</f>
        <v> 37.60  </v>
      </c>
      <c r="O164" s="115" t="str">
        <f>Cable!O159</f>
        <v> 57.20  </v>
      </c>
      <c r="R164" s="107"/>
      <c r="S164" s="108"/>
    </row>
    <row r="165" ht="11.25">
      <c r="S165" s="108"/>
    </row>
    <row r="166" ht="11.25">
      <c r="S166" s="108"/>
    </row>
    <row r="167" ht="11.25">
      <c r="S167" s="108"/>
    </row>
    <row r="168" ht="11.25">
      <c r="S168" s="108"/>
    </row>
    <row r="169" spans="3:19" ht="11.25">
      <c r="C169" s="379" t="s">
        <v>71</v>
      </c>
      <c r="D169" s="381" t="s">
        <v>115</v>
      </c>
      <c r="E169" s="381"/>
      <c r="F169" s="381"/>
      <c r="G169" s="381"/>
      <c r="H169" s="381"/>
      <c r="I169" s="381"/>
      <c r="J169" s="381"/>
      <c r="K169" s="381"/>
      <c r="L169" s="381"/>
      <c r="M169" s="381"/>
      <c r="N169" s="381"/>
      <c r="O169" s="381"/>
      <c r="S169" s="108"/>
    </row>
    <row r="170" spans="3:19" ht="11.25">
      <c r="C170" s="379"/>
      <c r="D170" s="378" t="s">
        <v>101</v>
      </c>
      <c r="E170" s="378"/>
      <c r="F170" s="378" t="s">
        <v>102</v>
      </c>
      <c r="G170" s="378"/>
      <c r="H170" s="382" t="s">
        <v>111</v>
      </c>
      <c r="I170" s="382"/>
      <c r="J170" s="382"/>
      <c r="K170" s="382" t="s">
        <v>102</v>
      </c>
      <c r="L170" s="382"/>
      <c r="M170" s="382"/>
      <c r="N170" s="378" t="s">
        <v>103</v>
      </c>
      <c r="O170" s="378"/>
      <c r="S170" s="108"/>
    </row>
    <row r="171" spans="3:19" ht="11.25">
      <c r="C171" s="379"/>
      <c r="D171" s="113" t="s">
        <v>104</v>
      </c>
      <c r="E171" s="113" t="s">
        <v>105</v>
      </c>
      <c r="F171" s="113" t="s">
        <v>104</v>
      </c>
      <c r="G171" s="113" t="s">
        <v>105</v>
      </c>
      <c r="H171" s="114" t="s">
        <v>51</v>
      </c>
      <c r="I171" s="114" t="s">
        <v>106</v>
      </c>
      <c r="J171" s="114" t="s">
        <v>50</v>
      </c>
      <c r="K171" s="114" t="s">
        <v>51</v>
      </c>
      <c r="L171" s="114" t="s">
        <v>106</v>
      </c>
      <c r="M171" s="114" t="s">
        <v>50</v>
      </c>
      <c r="N171" s="378" t="s">
        <v>101</v>
      </c>
      <c r="O171" s="378" t="s">
        <v>102</v>
      </c>
      <c r="S171" s="108"/>
    </row>
    <row r="172" spans="3:19" ht="11.25">
      <c r="C172" s="114"/>
      <c r="D172" s="114" t="s">
        <v>107</v>
      </c>
      <c r="E172" s="114" t="s">
        <v>107</v>
      </c>
      <c r="F172" s="114" t="s">
        <v>107</v>
      </c>
      <c r="G172" s="114" t="s">
        <v>107</v>
      </c>
      <c r="H172" s="114" t="s">
        <v>0</v>
      </c>
      <c r="I172" s="114" t="s">
        <v>0</v>
      </c>
      <c r="J172" s="114" t="s">
        <v>0</v>
      </c>
      <c r="K172" s="114" t="s">
        <v>0</v>
      </c>
      <c r="L172" s="114" t="s">
        <v>0</v>
      </c>
      <c r="M172" s="114" t="s">
        <v>0</v>
      </c>
      <c r="N172" s="378"/>
      <c r="O172" s="378"/>
      <c r="S172" s="108"/>
    </row>
    <row r="173" spans="3:19" ht="11.25">
      <c r="C173" s="115" t="str">
        <f>Cable!C165</f>
        <v>1cX25</v>
      </c>
      <c r="D173" s="115">
        <f>Cable!D165</f>
        <v>1.1</v>
      </c>
      <c r="E173" s="115">
        <f>Cable!E165</f>
        <v>0.134</v>
      </c>
      <c r="F173" s="115">
        <f>Cable!F165</f>
        <v>1.1</v>
      </c>
      <c r="G173" s="115">
        <f>Cable!G165</f>
        <v>0.134</v>
      </c>
      <c r="H173" s="115" t="str">
        <f>Cable!H165</f>
        <v> 100  </v>
      </c>
      <c r="I173" s="115" t="str">
        <f>Cable!I165</f>
        <v> 90  </v>
      </c>
      <c r="J173" s="115" t="str">
        <f>Cable!J165</f>
        <v> 120  </v>
      </c>
      <c r="K173" s="115" t="str">
        <f>Cable!K165</f>
        <v> 130  </v>
      </c>
      <c r="L173" s="115" t="str">
        <f>Cable!L165</f>
        <v> 115  </v>
      </c>
      <c r="M173" s="115" t="str">
        <f>Cable!M165</f>
        <v> 155  </v>
      </c>
      <c r="N173" s="115" t="str">
        <f>Cable!N165</f>
        <v> 2.35  </v>
      </c>
      <c r="O173" s="115" t="str">
        <f>Cable!O165</f>
        <v> 3.58  </v>
      </c>
      <c r="S173" s="108"/>
    </row>
    <row r="174" spans="3:26" s="110" customFormat="1" ht="11.25">
      <c r="C174" s="115" t="str">
        <f>Cable!C166</f>
        <v>1cX35</v>
      </c>
      <c r="D174" s="115">
        <f>Cable!D166</f>
        <v>1.1</v>
      </c>
      <c r="E174" s="115">
        <f>Cable!E166</f>
        <v>0.134</v>
      </c>
      <c r="F174" s="115">
        <f>Cable!F166</f>
        <v>1.1</v>
      </c>
      <c r="G174" s="115">
        <f>Cable!G166</f>
        <v>0.134</v>
      </c>
      <c r="H174" s="115" t="str">
        <f>Cable!H166</f>
        <v> 120  </v>
      </c>
      <c r="I174" s="115" t="str">
        <f>Cable!I166</f>
        <v> 105  </v>
      </c>
      <c r="J174" s="115" t="str">
        <f>Cable!J166</f>
        <v> 145  </v>
      </c>
      <c r="K174" s="115" t="str">
        <f>Cable!K166</f>
        <v> 155  </v>
      </c>
      <c r="L174" s="115" t="str">
        <f>Cable!L166</f>
        <v> 140  </v>
      </c>
      <c r="M174" s="115" t="str">
        <f>Cable!M166</f>
        <v> 185  </v>
      </c>
      <c r="N174" s="115" t="str">
        <f>Cable!N166</f>
        <v> 3.29  </v>
      </c>
      <c r="O174" s="115" t="str">
        <f>Cable!O166</f>
        <v> 5.00  </v>
      </c>
      <c r="P174" s="80"/>
      <c r="Q174" s="80"/>
      <c r="R174" s="80"/>
      <c r="S174" s="109"/>
      <c r="T174" s="80"/>
      <c r="U174" s="80"/>
      <c r="V174" s="80"/>
      <c r="W174" s="80"/>
      <c r="X174" s="80"/>
      <c r="Y174" s="80"/>
      <c r="Z174" s="80"/>
    </row>
    <row r="175" spans="3:19" ht="11.25">
      <c r="C175" s="115" t="str">
        <f>Cable!C167</f>
        <v>1cX50</v>
      </c>
      <c r="D175" s="115">
        <f>Cable!D167</f>
        <v>0.822</v>
      </c>
      <c r="E175" s="115">
        <f>Cable!E167</f>
        <v>0.1358</v>
      </c>
      <c r="F175" s="115">
        <f>Cable!F167</f>
        <v>0.822</v>
      </c>
      <c r="G175" s="115">
        <f>Cable!G167</f>
        <v>0.1358</v>
      </c>
      <c r="H175" s="115" t="str">
        <f>Cable!H167</f>
        <v> 140  </v>
      </c>
      <c r="I175" s="115" t="str">
        <f>Cable!I167</f>
        <v> 125  </v>
      </c>
      <c r="J175" s="115" t="str">
        <f>Cable!J167</f>
        <v> 170  </v>
      </c>
      <c r="K175" s="115" t="str">
        <f>Cable!K167</f>
        <v> 185  </v>
      </c>
      <c r="L175" s="115" t="str">
        <f>Cable!L167</f>
        <v> 160  </v>
      </c>
      <c r="M175" s="115" t="str">
        <f>Cable!M167</f>
        <v> 220  </v>
      </c>
      <c r="N175" s="115" t="str">
        <f>Cable!N167</f>
        <v> 4.70  </v>
      </c>
      <c r="O175" s="115" t="str">
        <f>Cable!O167</f>
        <v> 7.15  </v>
      </c>
      <c r="S175" s="108"/>
    </row>
    <row r="176" spans="3:19" ht="11.25">
      <c r="C176" s="115" t="str">
        <f>Cable!C168</f>
        <v>1cX70</v>
      </c>
      <c r="D176" s="115">
        <f>Cable!D168</f>
        <v>0.568</v>
      </c>
      <c r="E176" s="115">
        <f>Cable!E168</f>
        <v>0.1237</v>
      </c>
      <c r="F176" s="115">
        <f>Cable!F168</f>
        <v>0.568</v>
      </c>
      <c r="G176" s="115">
        <f>Cable!G168</f>
        <v>0.1237</v>
      </c>
      <c r="H176" s="115" t="str">
        <f>Cable!H168</f>
        <v> 175  </v>
      </c>
      <c r="I176" s="115" t="str">
        <f>Cable!I168</f>
        <v> 155  </v>
      </c>
      <c r="J176" s="115" t="str">
        <f>Cable!J168</f>
        <v> 215  </v>
      </c>
      <c r="K176" s="115" t="str">
        <f>Cable!K168</f>
        <v> 225  </v>
      </c>
      <c r="L176" s="115" t="str">
        <f>Cable!L168</f>
        <v> 195  </v>
      </c>
      <c r="M176" s="115" t="str">
        <f>Cable!M168</f>
        <v> 275  </v>
      </c>
      <c r="N176" s="115" t="str">
        <f>Cable!N168</f>
        <v> 6.58  </v>
      </c>
      <c r="O176" s="115" t="str">
        <f>Cable!O168</f>
        <v> 10.01  </v>
      </c>
      <c r="S176" s="108"/>
    </row>
    <row r="177" spans="3:19" ht="11.25">
      <c r="C177" s="115" t="str">
        <f>Cable!C169</f>
        <v>1cX95</v>
      </c>
      <c r="D177" s="115">
        <f>Cable!D169</f>
        <v>0.411</v>
      </c>
      <c r="E177" s="115">
        <f>Cable!E169</f>
        <v>0.1168</v>
      </c>
      <c r="F177" s="115">
        <f>Cable!F169</f>
        <v>0.411</v>
      </c>
      <c r="G177" s="115">
        <f>Cable!G169</f>
        <v>0.1168</v>
      </c>
      <c r="H177" s="115" t="str">
        <f>Cable!H169</f>
        <v> 205  </v>
      </c>
      <c r="I177" s="115" t="str">
        <f>Cable!I169</f>
        <v> 180  </v>
      </c>
      <c r="J177" s="115" t="str">
        <f>Cable!J169</f>
        <v> 260  </v>
      </c>
      <c r="K177" s="115" t="str">
        <f>Cable!K169</f>
        <v> 265  </v>
      </c>
      <c r="L177" s="115" t="str">
        <f>Cable!L169</f>
        <v> 235  </v>
      </c>
      <c r="M177" s="115" t="str">
        <f>Cable!M169</f>
        <v> 340  </v>
      </c>
      <c r="N177" s="115" t="str">
        <f>Cable!N169</f>
        <v> 8.93  </v>
      </c>
      <c r="O177" s="115" t="str">
        <f>Cable!O169</f>
        <v> 13.59  </v>
      </c>
      <c r="S177" s="108"/>
    </row>
    <row r="178" spans="3:19" ht="11.25">
      <c r="C178" s="115" t="str">
        <f>Cable!C170</f>
        <v>1cX120</v>
      </c>
      <c r="D178" s="115">
        <f>Cable!D170</f>
        <v>0.325</v>
      </c>
      <c r="E178" s="115">
        <f>Cable!E170</f>
        <v>0.1128</v>
      </c>
      <c r="F178" s="115">
        <f>Cable!F170</f>
        <v>0.325</v>
      </c>
      <c r="G178" s="115">
        <f>Cable!G170</f>
        <v>0.1128</v>
      </c>
      <c r="H178" s="115" t="str">
        <f>Cable!H170</f>
        <v> 235  </v>
      </c>
      <c r="I178" s="115" t="str">
        <f>Cable!I170</f>
        <v> 205  </v>
      </c>
      <c r="J178" s="115" t="str">
        <f>Cable!J170</f>
        <v> 305  </v>
      </c>
      <c r="K178" s="115" t="str">
        <f>Cable!K170</f>
        <v> 300  </v>
      </c>
      <c r="L178" s="115" t="str">
        <f>Cable!L170</f>
        <v> 265  </v>
      </c>
      <c r="M178" s="115" t="str">
        <f>Cable!M170</f>
        <v> 390  </v>
      </c>
      <c r="N178" s="115" t="str">
        <f>Cable!N170</f>
        <v> 11.28  </v>
      </c>
      <c r="O178" s="115" t="str">
        <f>Cable!O170</f>
        <v> 17.16  </v>
      </c>
      <c r="S178" s="108"/>
    </row>
    <row r="179" spans="3:19" ht="11.25">
      <c r="C179" s="115" t="str">
        <f>Cable!C171</f>
        <v>1cX150  </v>
      </c>
      <c r="D179" s="115">
        <f>Cable!D171</f>
        <v>0.265</v>
      </c>
      <c r="E179" s="115">
        <f>Cable!E171</f>
        <v>0.1096</v>
      </c>
      <c r="F179" s="115">
        <f>Cable!F171</f>
        <v>0.265</v>
      </c>
      <c r="G179" s="115">
        <f>Cable!G171</f>
        <v>0.1096</v>
      </c>
      <c r="H179" s="115" t="str">
        <f>Cable!H171</f>
        <v> 260  </v>
      </c>
      <c r="I179" s="115" t="str">
        <f>Cable!I171</f>
        <v> 230  </v>
      </c>
      <c r="J179" s="115" t="str">
        <f>Cable!J171</f>
        <v> 345  </v>
      </c>
      <c r="K179" s="115" t="str">
        <f>Cable!K171</f>
        <v> 335  </v>
      </c>
      <c r="L179" s="115" t="str">
        <f>Cable!L171</f>
        <v> 295  </v>
      </c>
      <c r="M179" s="115" t="str">
        <f>Cable!M171</f>
        <v> 440  </v>
      </c>
      <c r="N179" s="115" t="str">
        <f>Cable!N171</f>
        <v> 14.10  </v>
      </c>
      <c r="O179" s="115" t="str">
        <f>Cable!O171</f>
        <v> 21.45  </v>
      </c>
      <c r="S179" s="108"/>
    </row>
    <row r="180" spans="3:19" ht="11.25">
      <c r="C180" s="115" t="str">
        <f>Cable!C172</f>
        <v>1cX185  </v>
      </c>
      <c r="D180" s="115">
        <f>Cable!D172</f>
        <v>0.211</v>
      </c>
      <c r="E180" s="115">
        <f>Cable!E172</f>
        <v>0.1073</v>
      </c>
      <c r="F180" s="115">
        <f>Cable!F172</f>
        <v>0.211</v>
      </c>
      <c r="G180" s="115">
        <f>Cable!G172</f>
        <v>0.1073</v>
      </c>
      <c r="H180" s="115" t="str">
        <f>Cable!H172</f>
        <v> 295  </v>
      </c>
      <c r="I180" s="115" t="str">
        <f>Cable!I172</f>
        <v> 260  </v>
      </c>
      <c r="J180" s="115" t="str">
        <f>Cable!J172</f>
        <v> 395  </v>
      </c>
      <c r="K180" s="115" t="str">
        <f>Cable!K172</f>
        <v> 380  </v>
      </c>
      <c r="L180" s="115" t="str">
        <f>Cable!L172</f>
        <v> 330  </v>
      </c>
      <c r="M180" s="115" t="str">
        <f>Cable!M172</f>
        <v> 510  </v>
      </c>
      <c r="N180" s="115" t="str">
        <f>Cable!N172</f>
        <v> 17.39  </v>
      </c>
      <c r="O180" s="115" t="str">
        <f>Cable!O172</f>
        <v> 26.46  </v>
      </c>
      <c r="S180" s="108"/>
    </row>
    <row r="181" spans="3:19" ht="11.25">
      <c r="C181" s="115" t="str">
        <f>Cable!C173</f>
        <v>1cX240  </v>
      </c>
      <c r="D181" s="115">
        <f>Cable!D173</f>
        <v>0.161</v>
      </c>
      <c r="E181" s="115">
        <f>Cable!E173</f>
        <v>0.1041</v>
      </c>
      <c r="F181" s="115">
        <f>Cable!F173</f>
        <v>0.161</v>
      </c>
      <c r="G181" s="115">
        <f>Cable!G173</f>
        <v>0.1041</v>
      </c>
      <c r="H181" s="115" t="str">
        <f>Cable!H173</f>
        <v> 340  </v>
      </c>
      <c r="I181" s="115" t="str">
        <f>Cable!I173</f>
        <v> 300  </v>
      </c>
      <c r="J181" s="115" t="str">
        <f>Cable!J173</f>
        <v> 470  </v>
      </c>
      <c r="K181" s="115" t="str">
        <f>Cable!K173</f>
        <v> 435  </v>
      </c>
      <c r="L181" s="115" t="str">
        <f>Cable!L173</f>
        <v> 380  </v>
      </c>
      <c r="M181" s="115" t="str">
        <f>Cable!M173</f>
        <v> 600  </v>
      </c>
      <c r="N181" s="115" t="str">
        <f>Cable!N173</f>
        <v> 22.56  </v>
      </c>
      <c r="O181" s="115" t="str">
        <f>Cable!O173</f>
        <v> 34.32  </v>
      </c>
      <c r="S181" s="108"/>
    </row>
    <row r="182" spans="3:19" ht="11.25">
      <c r="C182" s="115" t="str">
        <f>Cable!C174</f>
        <v>1cX300  </v>
      </c>
      <c r="D182" s="115">
        <f>Cable!D174</f>
        <v>0.13</v>
      </c>
      <c r="E182" s="115">
        <f>Cable!E174</f>
        <v>0.1002</v>
      </c>
      <c r="F182" s="115">
        <f>Cable!F174</f>
        <v>0.13</v>
      </c>
      <c r="G182" s="115">
        <f>Cable!G174</f>
        <v>0.1002</v>
      </c>
      <c r="H182" s="115" t="str">
        <f>Cable!H174</f>
        <v> 385  </v>
      </c>
      <c r="I182" s="115" t="str">
        <f>Cable!I174</f>
        <v> 335  </v>
      </c>
      <c r="J182" s="115" t="str">
        <f>Cable!J174</f>
        <v> 540  </v>
      </c>
      <c r="K182" s="115" t="str">
        <f>Cable!K174</f>
        <v> 490  </v>
      </c>
      <c r="L182" s="115" t="str">
        <f>Cable!L174</f>
        <v> 425  </v>
      </c>
      <c r="M182" s="115" t="str">
        <f>Cable!M174</f>
        <v> 680  </v>
      </c>
      <c r="N182" s="115" t="str">
        <f>Cable!N174</f>
        <v> 28.20  </v>
      </c>
      <c r="O182" s="115" t="str">
        <f>Cable!O174</f>
        <v> 42.90  </v>
      </c>
      <c r="S182" s="108"/>
    </row>
    <row r="183" spans="3:19" ht="11.25">
      <c r="C183" s="115" t="str">
        <f>Cable!C175</f>
        <v>1cX400  </v>
      </c>
      <c r="D183" s="115">
        <f>Cable!D175</f>
        <v>0.102</v>
      </c>
      <c r="E183" s="115">
        <f>Cable!E175</f>
        <v>0.0968</v>
      </c>
      <c r="F183" s="115">
        <f>Cable!F175</f>
        <v>0.102</v>
      </c>
      <c r="G183" s="115">
        <f>Cable!G175</f>
        <v>0.0968</v>
      </c>
      <c r="H183" s="115" t="str">
        <f>Cable!H175</f>
        <v> 440  </v>
      </c>
      <c r="I183" s="115" t="str">
        <f>Cable!I175</f>
        <v> 380  </v>
      </c>
      <c r="J183" s="115" t="str">
        <f>Cable!J175</f>
        <v> 630  </v>
      </c>
      <c r="K183" s="115" t="str">
        <f>Cable!K175</f>
        <v> 550  </v>
      </c>
      <c r="L183" s="115" t="str">
        <f>Cable!L175</f>
        <v> 480  </v>
      </c>
      <c r="M183" s="115" t="str">
        <f>Cable!M175</f>
        <v> 790  </v>
      </c>
      <c r="N183" s="115" t="str">
        <f>Cable!N175</f>
        <v> 37.60  </v>
      </c>
      <c r="O183" s="115" t="str">
        <f>Cable!O175</f>
        <v> 57.20  </v>
      </c>
      <c r="S183" s="108"/>
    </row>
    <row r="184" spans="3:19" ht="11.25">
      <c r="C184" s="115" t="str">
        <f>Cable!C176</f>
        <v>1cX 500  </v>
      </c>
      <c r="D184" s="115">
        <f>Cable!D176</f>
        <v>0.08</v>
      </c>
      <c r="E184" s="115">
        <f>Cable!E176</f>
        <v>0.0939</v>
      </c>
      <c r="F184" s="115">
        <f>Cable!F176</f>
        <v>0.08</v>
      </c>
      <c r="G184" s="115">
        <f>Cable!G176</f>
        <v>0.0939</v>
      </c>
      <c r="H184" s="115" t="str">
        <f>Cable!H176</f>
        <v> 495  </v>
      </c>
      <c r="I184" s="115" t="str">
        <f>Cable!I176</f>
        <v> 430  </v>
      </c>
      <c r="J184" s="115" t="str">
        <f>Cable!J176</f>
        <v> 730  </v>
      </c>
      <c r="K184" s="115" t="str">
        <f>Cable!K176</f>
        <v> 610  </v>
      </c>
      <c r="L184" s="115" t="str">
        <f>Cable!L176</f>
        <v> 530  </v>
      </c>
      <c r="M184" s="115" t="str">
        <f>Cable!M176</f>
        <v> 910  </v>
      </c>
      <c r="N184" s="115" t="str">
        <f>Cable!N176</f>
        <v> 47.00  </v>
      </c>
      <c r="O184" s="115" t="str">
        <f>Cable!O176</f>
        <v> 71.50  </v>
      </c>
      <c r="S184" s="108"/>
    </row>
    <row r="185" spans="3:19" ht="11.25">
      <c r="C185" s="115" t="str">
        <f>Cable!C177</f>
        <v>1cX 630  </v>
      </c>
      <c r="D185" s="115">
        <f>Cable!D177</f>
        <v>0.063</v>
      </c>
      <c r="E185" s="115">
        <f>Cable!E177</f>
        <v>0.0921</v>
      </c>
      <c r="F185" s="115">
        <f>Cable!F177</f>
        <v>0.063</v>
      </c>
      <c r="G185" s="115">
        <f>Cable!G177</f>
        <v>0.0921</v>
      </c>
      <c r="H185" s="115" t="str">
        <f>Cable!H177</f>
        <v> 560  </v>
      </c>
      <c r="I185" s="115" t="str">
        <f>Cable!I177</f>
        <v> 480  </v>
      </c>
      <c r="J185" s="115" t="str">
        <f>Cable!J177</f>
        <v> 840  </v>
      </c>
      <c r="K185" s="115" t="str">
        <f>Cable!K177</f>
        <v> 680  </v>
      </c>
      <c r="L185" s="115" t="str">
        <f>Cable!L177</f>
        <v> 580  </v>
      </c>
      <c r="M185" s="115" t="str">
        <f>Cable!M177</f>
        <v> 1030  </v>
      </c>
      <c r="N185" s="115" t="str">
        <f>Cable!N177</f>
        <v> 59.22  </v>
      </c>
      <c r="O185" s="115" t="str">
        <f>Cable!O177</f>
        <v> 90.10  </v>
      </c>
      <c r="S185" s="108"/>
    </row>
    <row r="186" spans="3:19" ht="11.25">
      <c r="C186" s="115" t="str">
        <f>Cable!C178</f>
        <v>1cX800  </v>
      </c>
      <c r="D186" s="115">
        <f>Cable!D178</f>
        <v>0.0513</v>
      </c>
      <c r="E186" s="115">
        <f>Cable!E178</f>
        <v>0.097</v>
      </c>
      <c r="F186" s="115">
        <f>Cable!F178</f>
        <v>0.0513</v>
      </c>
      <c r="G186" s="115">
        <f>Cable!G178</f>
        <v>0.097</v>
      </c>
      <c r="H186" s="115" t="str">
        <f>Cable!H178</f>
        <v> 620  </v>
      </c>
      <c r="I186" s="115" t="str">
        <f>Cable!I178</f>
        <v> 530  </v>
      </c>
      <c r="J186" s="115" t="str">
        <f>Cable!J178</f>
        <v> 960  </v>
      </c>
      <c r="K186" s="115" t="str">
        <f>Cable!K178</f>
        <v> 740  </v>
      </c>
      <c r="L186" s="115" t="str">
        <f>Cable!L178</f>
        <v> 630  </v>
      </c>
      <c r="M186" s="115" t="str">
        <f>Cable!M178</f>
        <v> 1140  </v>
      </c>
      <c r="N186" s="115" t="str">
        <f>Cable!N178</f>
        <v> 75.20  </v>
      </c>
      <c r="O186" s="115" t="str">
        <f>Cable!O178</f>
        <v> 114.40  </v>
      </c>
      <c r="S186" s="108"/>
    </row>
    <row r="187" spans="3:19" ht="11.25">
      <c r="C187" s="115" t="str">
        <f>Cable!C179</f>
        <v>1cX1000  </v>
      </c>
      <c r="D187" s="115">
        <f>Cable!D179</f>
        <v>0.0426</v>
      </c>
      <c r="E187" s="115">
        <f>Cable!E179</f>
        <v>0.0875</v>
      </c>
      <c r="F187" s="115">
        <f>Cable!F179</f>
        <v>0.0426</v>
      </c>
      <c r="G187" s="115">
        <f>Cable!G179</f>
        <v>0.0875</v>
      </c>
      <c r="H187" s="115" t="str">
        <f>Cable!H179</f>
        <v> 680  </v>
      </c>
      <c r="I187" s="115" t="str">
        <f>Cable!I179</f>
        <v> 580  </v>
      </c>
      <c r="J187" s="115" t="str">
        <f>Cable!J179</f>
        <v> 1070  </v>
      </c>
      <c r="K187" s="115" t="str">
        <f>Cable!K179</f>
        <v> 790  </v>
      </c>
      <c r="L187" s="115" t="str">
        <f>Cable!L179</f>
        <v> 670  </v>
      </c>
      <c r="M187" s="115" t="str">
        <f>Cable!M179</f>
        <v> 1250  </v>
      </c>
      <c r="N187" s="115" t="str">
        <f>Cable!N179</f>
        <v> 94.00  </v>
      </c>
      <c r="O187" s="115" t="str">
        <f>Cable!O179</f>
        <v> 143.00  </v>
      </c>
      <c r="S187" s="108"/>
    </row>
    <row r="188" spans="3:19" ht="11.25">
      <c r="C188" s="115" t="str">
        <f>Cable!C180</f>
        <v>3cX 25  </v>
      </c>
      <c r="D188" s="115">
        <f>Cable!D180</f>
        <v>1.1</v>
      </c>
      <c r="E188" s="115">
        <f>Cable!E180</f>
        <v>0.134</v>
      </c>
      <c r="F188" s="115">
        <f>Cable!F180</f>
        <v>1.1</v>
      </c>
      <c r="G188" s="115">
        <f>Cable!G180</f>
        <v>0.134</v>
      </c>
      <c r="H188" s="115" t="str">
        <f>Cable!H180</f>
        <v> 95  </v>
      </c>
      <c r="I188" s="115" t="str">
        <f>Cable!I180</f>
        <v> 82  </v>
      </c>
      <c r="J188" s="115" t="str">
        <f>Cable!J180</f>
        <v> 105  </v>
      </c>
      <c r="K188" s="115" t="str">
        <f>Cable!K180</f>
        <v> 120  </v>
      </c>
      <c r="L188" s="115" t="str">
        <f>Cable!L180</f>
        <v> 105  </v>
      </c>
      <c r="M188" s="115" t="str">
        <f>Cable!M180</f>
        <v> 135  </v>
      </c>
      <c r="N188" s="115" t="str">
        <f>Cable!N180</f>
        <v> 2.35  </v>
      </c>
      <c r="O188" s="115" t="str">
        <f>Cable!O180</f>
        <v> 3.58  </v>
      </c>
      <c r="S188" s="108"/>
    </row>
    <row r="189" spans="3:19" ht="11.25">
      <c r="C189" s="115" t="str">
        <f>Cable!C181</f>
        <v>3cX 35  </v>
      </c>
      <c r="D189" s="115">
        <f>Cable!D181</f>
        <v>1.1</v>
      </c>
      <c r="E189" s="115">
        <f>Cable!E181</f>
        <v>0.134</v>
      </c>
      <c r="F189" s="115">
        <f>Cable!F181</f>
        <v>1.1</v>
      </c>
      <c r="G189" s="115">
        <f>Cable!G181</f>
        <v>0.134</v>
      </c>
      <c r="H189" s="115" t="str">
        <f>Cable!H181</f>
        <v> 115  </v>
      </c>
      <c r="I189" s="115" t="str">
        <f>Cable!I181</f>
        <v> 97  </v>
      </c>
      <c r="J189" s="115" t="str">
        <f>Cable!J181</f>
        <v> 125  </v>
      </c>
      <c r="K189" s="115" t="str">
        <f>Cable!K181</f>
        <v> 145  </v>
      </c>
      <c r="L189" s="115" t="str">
        <f>Cable!L181</f>
        <v> 125  </v>
      </c>
      <c r="M189" s="115" t="str">
        <f>Cable!M181</f>
        <v> 165  </v>
      </c>
      <c r="N189" s="115" t="str">
        <f>Cable!N181</f>
        <v> 3.29  </v>
      </c>
      <c r="O189" s="115" t="str">
        <f>Cable!O181</f>
        <v> 5.01  </v>
      </c>
      <c r="S189" s="108"/>
    </row>
    <row r="190" spans="3:19" ht="11.25">
      <c r="C190" s="115" t="str">
        <f>Cable!C182</f>
        <v>3cX 50  </v>
      </c>
      <c r="D190" s="115">
        <f>Cable!D182</f>
        <v>0.822</v>
      </c>
      <c r="E190" s="115">
        <f>Cable!E182</f>
        <v>0.1358</v>
      </c>
      <c r="F190" s="115">
        <f>Cable!F182</f>
        <v>0.822</v>
      </c>
      <c r="G190" s="115">
        <f>Cable!G182</f>
        <v>0.1358</v>
      </c>
      <c r="H190" s="115" t="str">
        <f>Cable!H182</f>
        <v> 130  </v>
      </c>
      <c r="I190" s="115" t="str">
        <f>Cable!I182</f>
        <v> 115  </v>
      </c>
      <c r="J190" s="115" t="str">
        <f>Cable!J182</f>
        <v> 150  </v>
      </c>
      <c r="K190" s="115" t="str">
        <f>Cable!K182</f>
        <v> 170  </v>
      </c>
      <c r="L190" s="115" t="str">
        <f>Cable!L182</f>
        <v> 150  </v>
      </c>
      <c r="M190" s="115" t="str">
        <f>Cable!M182</f>
        <v> 195  </v>
      </c>
      <c r="N190" s="115" t="str">
        <f>Cable!N182</f>
        <v> 4.70  </v>
      </c>
      <c r="O190" s="115" t="str">
        <f>Cable!O182</f>
        <v> 7.15  </v>
      </c>
      <c r="S190" s="108"/>
    </row>
    <row r="191" spans="3:19" ht="11.25">
      <c r="C191" s="115" t="str">
        <f>Cable!C183</f>
        <v>3cX 70  </v>
      </c>
      <c r="D191" s="115">
        <f>Cable!D183</f>
        <v>0.568</v>
      </c>
      <c r="E191" s="115">
        <f>Cable!E183</f>
        <v>0.1237</v>
      </c>
      <c r="F191" s="115">
        <f>Cable!F183</f>
        <v>0.568</v>
      </c>
      <c r="G191" s="115">
        <f>Cable!G183</f>
        <v>0.1237</v>
      </c>
      <c r="H191" s="115" t="str">
        <f>Cable!H183</f>
        <v> 160  </v>
      </c>
      <c r="I191" s="115" t="str">
        <f>Cable!I183</f>
        <v> 140  </v>
      </c>
      <c r="J191" s="115" t="str">
        <f>Cable!J183</f>
        <v> 190  </v>
      </c>
      <c r="K191" s="115" t="str">
        <f>Cable!K183</f>
        <v> 210  </v>
      </c>
      <c r="L191" s="115" t="str">
        <f>Cable!L183</f>
        <v> 180  </v>
      </c>
      <c r="M191" s="115" t="str">
        <f>Cable!M183</f>
        <v> 240  </v>
      </c>
      <c r="N191" s="115" t="str">
        <f>Cable!N183</f>
        <v> 6.58  </v>
      </c>
      <c r="O191" s="115" t="str">
        <f>Cable!O183</f>
        <v> 10.01  </v>
      </c>
      <c r="S191" s="108"/>
    </row>
    <row r="192" spans="3:19" ht="11.25">
      <c r="C192" s="115" t="str">
        <f>Cable!C184</f>
        <v>3cX 95  </v>
      </c>
      <c r="D192" s="115">
        <f>Cable!D184</f>
        <v>0.411</v>
      </c>
      <c r="E192" s="115">
        <f>Cable!E184</f>
        <v>0.1168</v>
      </c>
      <c r="F192" s="115">
        <f>Cable!F184</f>
        <v>0.411</v>
      </c>
      <c r="G192" s="115">
        <f>Cable!G184</f>
        <v>0.1168</v>
      </c>
      <c r="H192" s="115" t="str">
        <f>Cable!H184</f>
        <v> 190  </v>
      </c>
      <c r="I192" s="115" t="str">
        <f>Cable!I184</f>
        <v> 165  </v>
      </c>
      <c r="J192" s="115" t="str">
        <f>Cable!J184</f>
        <v> 230  </v>
      </c>
      <c r="K192" s="115" t="str">
        <f>Cable!K184</f>
        <v> 250  </v>
      </c>
      <c r="L192" s="115" t="str">
        <f>Cable!L184</f>
        <v> 215  </v>
      </c>
      <c r="M192" s="115" t="str">
        <f>Cable!M184</f>
        <v> 295  </v>
      </c>
      <c r="N192" s="115" t="str">
        <f>Cable!N184</f>
        <v> 8.93  </v>
      </c>
      <c r="O192" s="115" t="str">
        <f>Cable!O184</f>
        <v> 13.59  </v>
      </c>
      <c r="S192" s="108"/>
    </row>
    <row r="193" spans="3:19" ht="11.25">
      <c r="C193" s="115" t="str">
        <f>Cable!C185</f>
        <v>3cX 120  </v>
      </c>
      <c r="D193" s="115">
        <f>Cable!D185</f>
        <v>0.325</v>
      </c>
      <c r="E193" s="115">
        <f>Cable!E185</f>
        <v>0.1128</v>
      </c>
      <c r="F193" s="115">
        <f>Cable!F185</f>
        <v>0.325</v>
      </c>
      <c r="G193" s="115">
        <f>Cable!G185</f>
        <v>0.1128</v>
      </c>
      <c r="H193" s="115" t="str">
        <f>Cable!H185</f>
        <v> 220  </v>
      </c>
      <c r="I193" s="115" t="str">
        <f>Cable!I185</f>
        <v> 190  </v>
      </c>
      <c r="J193" s="115" t="str">
        <f>Cable!J185</f>
        <v> 260  </v>
      </c>
      <c r="K193" s="115" t="str">
        <f>Cable!K185</f>
        <v> 280  </v>
      </c>
      <c r="L193" s="115" t="str">
        <f>Cable!L185</f>
        <v> 240  </v>
      </c>
      <c r="M193" s="115" t="str">
        <f>Cable!M185</f>
        <v> 335  </v>
      </c>
      <c r="N193" s="115" t="str">
        <f>Cable!N185</f>
        <v> 11.28  </v>
      </c>
      <c r="O193" s="115" t="str">
        <f>Cable!O185</f>
        <v> 17.16  </v>
      </c>
      <c r="S193" s="108"/>
    </row>
    <row r="194" spans="3:19" ht="11.25">
      <c r="C194" s="115" t="str">
        <f>Cable!C186</f>
        <v>3cX 150  </v>
      </c>
      <c r="D194" s="115">
        <f>Cable!D186</f>
        <v>0.265</v>
      </c>
      <c r="E194" s="115">
        <f>Cable!E186</f>
        <v>0.1096</v>
      </c>
      <c r="F194" s="115">
        <f>Cable!F186</f>
        <v>0.265</v>
      </c>
      <c r="G194" s="115">
        <f>Cable!G186</f>
        <v>0.1096</v>
      </c>
      <c r="H194" s="115" t="str">
        <f>Cable!H186</f>
        <v> 245  </v>
      </c>
      <c r="I194" s="115" t="str">
        <f>Cable!I186</f>
        <v> 210  </v>
      </c>
      <c r="J194" s="115" t="str">
        <f>Cable!J186</f>
        <v> 295  </v>
      </c>
      <c r="K194" s="115" t="str">
        <f>Cable!K186</f>
        <v> 310  </v>
      </c>
      <c r="L194" s="115" t="str">
        <f>Cable!L186</f>
        <v> 270  </v>
      </c>
      <c r="M194" s="115" t="str">
        <f>Cable!M186</f>
        <v> 380  </v>
      </c>
      <c r="N194" s="115" t="str">
        <f>Cable!N186</f>
        <v> 14.10  </v>
      </c>
      <c r="O194" s="115" t="str">
        <f>Cable!O186</f>
        <v> 21.45  </v>
      </c>
      <c r="S194" s="108"/>
    </row>
    <row r="195" spans="3:19" ht="11.25">
      <c r="C195" s="115" t="str">
        <f>Cable!C187</f>
        <v>3cX 185  </v>
      </c>
      <c r="D195" s="115">
        <f>Cable!D187</f>
        <v>0.211</v>
      </c>
      <c r="E195" s="115">
        <f>Cable!E187</f>
        <v>0.1073</v>
      </c>
      <c r="F195" s="115">
        <f>Cable!F187</f>
        <v>0.211</v>
      </c>
      <c r="G195" s="115">
        <f>Cable!G187</f>
        <v>0.1073</v>
      </c>
      <c r="H195" s="115" t="str">
        <f>Cable!H187</f>
        <v> 275  </v>
      </c>
      <c r="I195" s="115" t="str">
        <f>Cable!I187</f>
        <v> 240  </v>
      </c>
      <c r="J195" s="115" t="str">
        <f>Cable!J187</f>
        <v> 335  </v>
      </c>
      <c r="K195" s="115" t="str">
        <f>Cable!K187</f>
        <v> 350  </v>
      </c>
      <c r="L195" s="115" t="str">
        <f>Cable!L187</f>
        <v> 305  </v>
      </c>
      <c r="M195" s="115" t="str">
        <f>Cable!M187</f>
        <v> 430  </v>
      </c>
      <c r="N195" s="115" t="str">
        <f>Cable!N187</f>
        <v> 17.39  </v>
      </c>
      <c r="O195" s="115" t="str">
        <f>Cable!O187</f>
        <v> 26.46  </v>
      </c>
      <c r="S195" s="108"/>
    </row>
    <row r="196" spans="3:19" ht="11.25">
      <c r="C196" s="115" t="str">
        <f>Cable!C188</f>
        <v>3cX 240  </v>
      </c>
      <c r="D196" s="115">
        <f>Cable!D188</f>
        <v>0.161</v>
      </c>
      <c r="E196" s="115">
        <f>Cable!E188</f>
        <v>0.1041</v>
      </c>
      <c r="F196" s="115">
        <f>Cable!F188</f>
        <v>0.161</v>
      </c>
      <c r="G196" s="115">
        <f>Cable!G188</f>
        <v>0.1041</v>
      </c>
      <c r="H196" s="115" t="str">
        <f>Cable!H188</f>
        <v> 315  </v>
      </c>
      <c r="I196" s="115" t="str">
        <f>Cable!I188</f>
        <v> 275  </v>
      </c>
      <c r="J196" s="115" t="str">
        <f>Cable!J188</f>
        <v> 395  </v>
      </c>
      <c r="K196" s="115" t="str">
        <f>Cable!K188</f>
        <v> 400  </v>
      </c>
      <c r="L196" s="115" t="str">
        <f>Cable!L188</f>
        <v> 350  </v>
      </c>
      <c r="M196" s="115" t="str">
        <f>Cable!M188</f>
        <v> 500  </v>
      </c>
      <c r="N196" s="115" t="str">
        <f>Cable!N188</f>
        <v> 22.56  </v>
      </c>
      <c r="O196" s="115" t="str">
        <f>Cable!O188</f>
        <v> 34.32  </v>
      </c>
      <c r="S196" s="108"/>
    </row>
    <row r="197" spans="3:19" ht="11.25">
      <c r="C197" s="115" t="str">
        <f>Cable!C189</f>
        <v>3cX 300  </v>
      </c>
      <c r="D197" s="115">
        <f>Cable!D189</f>
        <v>0.13</v>
      </c>
      <c r="E197" s="115">
        <f>Cable!E189</f>
        <v>0.1002</v>
      </c>
      <c r="F197" s="115">
        <f>Cable!F189</f>
        <v>0.13</v>
      </c>
      <c r="G197" s="115">
        <f>Cable!G189</f>
        <v>0.1002</v>
      </c>
      <c r="H197" s="115" t="str">
        <f>Cable!H189</f>
        <v> 355  </v>
      </c>
      <c r="I197" s="115" t="str">
        <f>Cable!I189</f>
        <v> 310  </v>
      </c>
      <c r="J197" s="115" t="str">
        <f>Cable!J189</f>
        <v> 450  </v>
      </c>
      <c r="K197" s="115" t="str">
        <f>Cable!K189</f>
        <v> 445  </v>
      </c>
      <c r="L197" s="115" t="str">
        <f>Cable!L189</f>
        <v> 390  </v>
      </c>
      <c r="M197" s="115" t="str">
        <f>Cable!M189</f>
        <v> 570  </v>
      </c>
      <c r="N197" s="115" t="str">
        <f>Cable!N189</f>
        <v> 28.20  </v>
      </c>
      <c r="O197" s="115" t="str">
        <f>Cable!O189</f>
        <v> 42.90  </v>
      </c>
      <c r="S197" s="108"/>
    </row>
    <row r="198" spans="3:19" ht="11.25">
      <c r="C198" s="115" t="str">
        <f>Cable!C190</f>
        <v>3cX 400  </v>
      </c>
      <c r="D198" s="115">
        <f>Cable!D190</f>
        <v>0.102</v>
      </c>
      <c r="E198" s="115">
        <f>Cable!E190</f>
        <v>0.0968</v>
      </c>
      <c r="F198" s="115">
        <f>Cable!F190</f>
        <v>0.102</v>
      </c>
      <c r="G198" s="115">
        <f>Cable!G190</f>
        <v>0.0968</v>
      </c>
      <c r="H198" s="115" t="str">
        <f>Cable!H190</f>
        <v> 400  </v>
      </c>
      <c r="I198" s="115" t="str">
        <f>Cable!I190</f>
        <v> 350  </v>
      </c>
      <c r="J198" s="115" t="str">
        <f>Cable!J190</f>
        <v> 520  </v>
      </c>
      <c r="K198" s="115" t="str">
        <f>Cable!K190</f>
        <v> 500  </v>
      </c>
      <c r="L198" s="115" t="str">
        <f>Cable!L190</f>
        <v> 440  </v>
      </c>
      <c r="M198" s="115" t="str">
        <f>Cable!M190</f>
        <v> 650  </v>
      </c>
      <c r="N198" s="115" t="str">
        <f>Cable!N190</f>
        <v> 37.60  </v>
      </c>
      <c r="O198" s="115" t="str">
        <f>Cable!O190</f>
        <v> 57.20  </v>
      </c>
      <c r="S198" s="108"/>
    </row>
    <row r="199" ht="11.25">
      <c r="S199" s="108"/>
    </row>
    <row r="200" ht="11.25">
      <c r="S200" s="108"/>
    </row>
    <row r="201" spans="3:19" ht="11.25">
      <c r="C201" s="379" t="s">
        <v>71</v>
      </c>
      <c r="D201" s="381" t="s">
        <v>116</v>
      </c>
      <c r="E201" s="381"/>
      <c r="F201" s="381"/>
      <c r="G201" s="381"/>
      <c r="H201" s="381"/>
      <c r="I201" s="381"/>
      <c r="J201" s="381"/>
      <c r="K201" s="381"/>
      <c r="L201" s="381"/>
      <c r="M201" s="381"/>
      <c r="N201" s="381"/>
      <c r="O201" s="381"/>
      <c r="S201" s="108"/>
    </row>
    <row r="202" spans="3:19" ht="11.25">
      <c r="C202" s="379"/>
      <c r="D202" s="378" t="s">
        <v>101</v>
      </c>
      <c r="E202" s="378"/>
      <c r="F202" s="378" t="s">
        <v>102</v>
      </c>
      <c r="G202" s="378"/>
      <c r="H202" s="382" t="s">
        <v>111</v>
      </c>
      <c r="I202" s="382"/>
      <c r="J202" s="382"/>
      <c r="K202" s="382" t="s">
        <v>102</v>
      </c>
      <c r="L202" s="382"/>
      <c r="M202" s="382"/>
      <c r="N202" s="378" t="s">
        <v>103</v>
      </c>
      <c r="O202" s="378"/>
      <c r="S202" s="108"/>
    </row>
    <row r="203" spans="3:19" ht="11.25">
      <c r="C203" s="379"/>
      <c r="D203" s="113" t="s">
        <v>104</v>
      </c>
      <c r="E203" s="113" t="s">
        <v>105</v>
      </c>
      <c r="F203" s="113" t="s">
        <v>104</v>
      </c>
      <c r="G203" s="113" t="s">
        <v>105</v>
      </c>
      <c r="H203" s="114" t="s">
        <v>51</v>
      </c>
      <c r="I203" s="114" t="s">
        <v>106</v>
      </c>
      <c r="J203" s="114" t="s">
        <v>50</v>
      </c>
      <c r="K203" s="114" t="s">
        <v>51</v>
      </c>
      <c r="L203" s="114" t="s">
        <v>106</v>
      </c>
      <c r="M203" s="114" t="s">
        <v>50</v>
      </c>
      <c r="N203" s="378" t="s">
        <v>101</v>
      </c>
      <c r="O203" s="378" t="s">
        <v>102</v>
      </c>
      <c r="S203" s="108"/>
    </row>
    <row r="204" spans="3:19" ht="11.25">
      <c r="C204" s="114"/>
      <c r="D204" s="114" t="s">
        <v>107</v>
      </c>
      <c r="E204" s="114" t="s">
        <v>107</v>
      </c>
      <c r="F204" s="114" t="s">
        <v>107</v>
      </c>
      <c r="G204" s="114" t="s">
        <v>107</v>
      </c>
      <c r="H204" s="114" t="s">
        <v>0</v>
      </c>
      <c r="I204" s="114" t="s">
        <v>0</v>
      </c>
      <c r="J204" s="114" t="s">
        <v>0</v>
      </c>
      <c r="K204" s="114" t="s">
        <v>0</v>
      </c>
      <c r="L204" s="114" t="s">
        <v>0</v>
      </c>
      <c r="M204" s="114" t="s">
        <v>0</v>
      </c>
      <c r="N204" s="378"/>
      <c r="O204" s="378"/>
      <c r="S204" s="108"/>
    </row>
    <row r="205" spans="3:19" ht="11.25">
      <c r="C205" s="115" t="str">
        <f>Cable!C196</f>
        <v>1cX25</v>
      </c>
      <c r="D205" s="115">
        <f>Cable!D196</f>
        <v>1.1</v>
      </c>
      <c r="E205" s="115">
        <f>Cable!E196</f>
        <v>0.134</v>
      </c>
      <c r="F205" s="115">
        <f>Cable!F196</f>
        <v>1.1</v>
      </c>
      <c r="G205" s="115">
        <f>Cable!G196</f>
        <v>0.134</v>
      </c>
      <c r="H205" s="115" t="str">
        <f>Cable!H196</f>
        <v> 100  </v>
      </c>
      <c r="I205" s="115" t="str">
        <f>Cable!I196</f>
        <v> 90  </v>
      </c>
      <c r="J205" s="115" t="str">
        <f>Cable!J196</f>
        <v> 120  </v>
      </c>
      <c r="K205" s="115" t="str">
        <f>Cable!K196</f>
        <v> 130  </v>
      </c>
      <c r="L205" s="115" t="str">
        <f>Cable!L196</f>
        <v> 115  </v>
      </c>
      <c r="M205" s="115" t="str">
        <f>Cable!M196</f>
        <v> 155  </v>
      </c>
      <c r="N205" s="115" t="str">
        <f>Cable!N196</f>
        <v> 2.35  </v>
      </c>
      <c r="O205" s="115" t="str">
        <f>Cable!O196</f>
        <v> 3.58  </v>
      </c>
      <c r="S205" s="108"/>
    </row>
    <row r="206" spans="3:19" ht="11.25">
      <c r="C206" s="115" t="str">
        <f>Cable!C197</f>
        <v>1cX35</v>
      </c>
      <c r="D206" s="115">
        <f>Cable!D197</f>
        <v>1.1</v>
      </c>
      <c r="E206" s="115">
        <f>Cable!E197</f>
        <v>0.134</v>
      </c>
      <c r="F206" s="115">
        <f>Cable!F197</f>
        <v>1.1</v>
      </c>
      <c r="G206" s="115">
        <f>Cable!G197</f>
        <v>0.134</v>
      </c>
      <c r="H206" s="115" t="str">
        <f>Cable!H197</f>
        <v> 120  </v>
      </c>
      <c r="I206" s="115" t="str">
        <f>Cable!I197</f>
        <v> 105  </v>
      </c>
      <c r="J206" s="115" t="str">
        <f>Cable!J197</f>
        <v> 145  </v>
      </c>
      <c r="K206" s="115" t="str">
        <f>Cable!K197</f>
        <v> 155  </v>
      </c>
      <c r="L206" s="115" t="str">
        <f>Cable!L197</f>
        <v> 140  </v>
      </c>
      <c r="M206" s="115" t="str">
        <f>Cable!M197</f>
        <v> 185  </v>
      </c>
      <c r="N206" s="115" t="str">
        <f>Cable!N197</f>
        <v> 3.29  </v>
      </c>
      <c r="O206" s="115" t="str">
        <f>Cable!O197</f>
        <v> 5.00  </v>
      </c>
      <c r="S206" s="108"/>
    </row>
    <row r="207" spans="3:19" ht="11.25">
      <c r="C207" s="115" t="str">
        <f>Cable!C198</f>
        <v>1cX50</v>
      </c>
      <c r="D207" s="115">
        <f>Cable!D198</f>
        <v>0.822</v>
      </c>
      <c r="E207" s="115">
        <f>Cable!E198</f>
        <v>0.1358</v>
      </c>
      <c r="F207" s="115">
        <f>Cable!F198</f>
        <v>0.822</v>
      </c>
      <c r="G207" s="115">
        <f>Cable!G198</f>
        <v>0.1358</v>
      </c>
      <c r="H207" s="115" t="str">
        <f>Cable!H198</f>
        <v> 140  </v>
      </c>
      <c r="I207" s="115" t="str">
        <f>Cable!I198</f>
        <v> 125  </v>
      </c>
      <c r="J207" s="115" t="str">
        <f>Cable!J198</f>
        <v> 170  </v>
      </c>
      <c r="K207" s="115" t="str">
        <f>Cable!K198</f>
        <v> 185  </v>
      </c>
      <c r="L207" s="115" t="str">
        <f>Cable!L198</f>
        <v> 160  </v>
      </c>
      <c r="M207" s="115" t="str">
        <f>Cable!M198</f>
        <v> 220  </v>
      </c>
      <c r="N207" s="115" t="str">
        <f>Cable!N198</f>
        <v> 4.70  </v>
      </c>
      <c r="O207" s="115" t="str">
        <f>Cable!O198</f>
        <v> 7.15  </v>
      </c>
      <c r="S207" s="108"/>
    </row>
    <row r="208" spans="3:19" ht="11.25">
      <c r="C208" s="115" t="str">
        <f>Cable!C199</f>
        <v>1cX70</v>
      </c>
      <c r="D208" s="115">
        <f>Cable!D199</f>
        <v>0.568</v>
      </c>
      <c r="E208" s="115">
        <f>Cable!E199</f>
        <v>0.1237</v>
      </c>
      <c r="F208" s="115">
        <f>Cable!F199</f>
        <v>0.568</v>
      </c>
      <c r="G208" s="115">
        <f>Cable!G199</f>
        <v>0.1237</v>
      </c>
      <c r="H208" s="115" t="str">
        <f>Cable!H199</f>
        <v> 175  </v>
      </c>
      <c r="I208" s="115" t="str">
        <f>Cable!I199</f>
        <v> 155  </v>
      </c>
      <c r="J208" s="115" t="str">
        <f>Cable!J199</f>
        <v> 215  </v>
      </c>
      <c r="K208" s="115" t="str">
        <f>Cable!K199</f>
        <v> 225  </v>
      </c>
      <c r="L208" s="115" t="str">
        <f>Cable!L199</f>
        <v> 195  </v>
      </c>
      <c r="M208" s="115" t="str">
        <f>Cable!M199</f>
        <v> 275  </v>
      </c>
      <c r="N208" s="115" t="str">
        <f>Cable!N199</f>
        <v> 6.58  </v>
      </c>
      <c r="O208" s="115" t="str">
        <f>Cable!O199</f>
        <v> 10.01  </v>
      </c>
      <c r="S208" s="108"/>
    </row>
    <row r="209" spans="3:19" ht="11.25">
      <c r="C209" s="115" t="str">
        <f>Cable!C200</f>
        <v>1cX95</v>
      </c>
      <c r="D209" s="115">
        <f>Cable!D200</f>
        <v>0.411</v>
      </c>
      <c r="E209" s="115">
        <f>Cable!E200</f>
        <v>0.1168</v>
      </c>
      <c r="F209" s="115">
        <f>Cable!F200</f>
        <v>0.411</v>
      </c>
      <c r="G209" s="115">
        <f>Cable!G200</f>
        <v>0.1168</v>
      </c>
      <c r="H209" s="115" t="str">
        <f>Cable!H200</f>
        <v> 205  </v>
      </c>
      <c r="I209" s="115" t="str">
        <f>Cable!I200</f>
        <v> 180  </v>
      </c>
      <c r="J209" s="115" t="str">
        <f>Cable!J200</f>
        <v> 260  </v>
      </c>
      <c r="K209" s="115" t="str">
        <f>Cable!K200</f>
        <v> 265  </v>
      </c>
      <c r="L209" s="115" t="str">
        <f>Cable!L200</f>
        <v> 235  </v>
      </c>
      <c r="M209" s="115" t="str">
        <f>Cable!M200</f>
        <v> 340  </v>
      </c>
      <c r="N209" s="115" t="str">
        <f>Cable!N200</f>
        <v> 8.93  </v>
      </c>
      <c r="O209" s="115" t="str">
        <f>Cable!O200</f>
        <v> 13.59  </v>
      </c>
      <c r="S209" s="108"/>
    </row>
    <row r="210" spans="3:19" ht="11.25">
      <c r="C210" s="115" t="str">
        <f>Cable!C201</f>
        <v>1cX120</v>
      </c>
      <c r="D210" s="115">
        <f>Cable!D201</f>
        <v>0.325</v>
      </c>
      <c r="E210" s="115">
        <f>Cable!E201</f>
        <v>0.1128</v>
      </c>
      <c r="F210" s="115">
        <f>Cable!F201</f>
        <v>0.325</v>
      </c>
      <c r="G210" s="115">
        <f>Cable!G201</f>
        <v>0.1128</v>
      </c>
      <c r="H210" s="115" t="str">
        <f>Cable!H201</f>
        <v> 235  </v>
      </c>
      <c r="I210" s="115" t="str">
        <f>Cable!I201</f>
        <v> 205  </v>
      </c>
      <c r="J210" s="115" t="str">
        <f>Cable!J201</f>
        <v> 305  </v>
      </c>
      <c r="K210" s="115" t="str">
        <f>Cable!K201</f>
        <v> 300  </v>
      </c>
      <c r="L210" s="115" t="str">
        <f>Cable!L201</f>
        <v> 265  </v>
      </c>
      <c r="M210" s="115" t="str">
        <f>Cable!M201</f>
        <v> 390  </v>
      </c>
      <c r="N210" s="115" t="str">
        <f>Cable!N201</f>
        <v> 11.28  </v>
      </c>
      <c r="O210" s="115" t="str">
        <f>Cable!O201</f>
        <v> 17.16  </v>
      </c>
      <c r="S210" s="108"/>
    </row>
    <row r="211" spans="3:19" ht="11.25">
      <c r="C211" s="115" t="str">
        <f>Cable!C202</f>
        <v>1cX150  </v>
      </c>
      <c r="D211" s="115">
        <f>Cable!D202</f>
        <v>0.265</v>
      </c>
      <c r="E211" s="115">
        <f>Cable!E202</f>
        <v>0.1096</v>
      </c>
      <c r="F211" s="115">
        <f>Cable!F202</f>
        <v>0.265</v>
      </c>
      <c r="G211" s="115">
        <f>Cable!G202</f>
        <v>0.1096</v>
      </c>
      <c r="H211" s="115" t="str">
        <f>Cable!H202</f>
        <v> 260  </v>
      </c>
      <c r="I211" s="115" t="str">
        <f>Cable!I202</f>
        <v> 230  </v>
      </c>
      <c r="J211" s="115" t="str">
        <f>Cable!J202</f>
        <v> 345  </v>
      </c>
      <c r="K211" s="115" t="str">
        <f>Cable!K202</f>
        <v> 335  </v>
      </c>
      <c r="L211" s="115" t="str">
        <f>Cable!L202</f>
        <v> 295  </v>
      </c>
      <c r="M211" s="115" t="str">
        <f>Cable!M202</f>
        <v> 440  </v>
      </c>
      <c r="N211" s="115" t="str">
        <f>Cable!N202</f>
        <v> 14.10  </v>
      </c>
      <c r="O211" s="115" t="str">
        <f>Cable!O202</f>
        <v> 21.45  </v>
      </c>
      <c r="S211" s="108"/>
    </row>
    <row r="212" spans="3:19" ht="11.25">
      <c r="C212" s="115" t="str">
        <f>Cable!C203</f>
        <v>1cX185  </v>
      </c>
      <c r="D212" s="115">
        <f>Cable!D203</f>
        <v>0.211</v>
      </c>
      <c r="E212" s="115">
        <f>Cable!E203</f>
        <v>0.1073</v>
      </c>
      <c r="F212" s="115">
        <f>Cable!F203</f>
        <v>0.211</v>
      </c>
      <c r="G212" s="115">
        <f>Cable!G203</f>
        <v>0.1073</v>
      </c>
      <c r="H212" s="115" t="str">
        <f>Cable!H203</f>
        <v> 295  </v>
      </c>
      <c r="I212" s="115" t="str">
        <f>Cable!I203</f>
        <v> 260  </v>
      </c>
      <c r="J212" s="115" t="str">
        <f>Cable!J203</f>
        <v> 395  </v>
      </c>
      <c r="K212" s="115" t="str">
        <f>Cable!K203</f>
        <v> 380  </v>
      </c>
      <c r="L212" s="115" t="str">
        <f>Cable!L203</f>
        <v> 330  </v>
      </c>
      <c r="M212" s="115" t="str">
        <f>Cable!M203</f>
        <v> 510  </v>
      </c>
      <c r="N212" s="115" t="str">
        <f>Cable!N203</f>
        <v> 17.39  </v>
      </c>
      <c r="O212" s="115" t="str">
        <f>Cable!O203</f>
        <v> 26.46  </v>
      </c>
      <c r="S212" s="108"/>
    </row>
    <row r="213" spans="3:19" ht="11.25">
      <c r="C213" s="115" t="str">
        <f>Cable!C204</f>
        <v>1cX240  </v>
      </c>
      <c r="D213" s="115">
        <f>Cable!D204</f>
        <v>0.161</v>
      </c>
      <c r="E213" s="115">
        <f>Cable!E204</f>
        <v>0.1041</v>
      </c>
      <c r="F213" s="115">
        <f>Cable!F204</f>
        <v>0.161</v>
      </c>
      <c r="G213" s="115">
        <f>Cable!G204</f>
        <v>0.1041</v>
      </c>
      <c r="H213" s="115" t="str">
        <f>Cable!H204</f>
        <v> 340  </v>
      </c>
      <c r="I213" s="115" t="str">
        <f>Cable!I204</f>
        <v> 300  </v>
      </c>
      <c r="J213" s="115" t="str">
        <f>Cable!J204</f>
        <v> 470  </v>
      </c>
      <c r="K213" s="115" t="str">
        <f>Cable!K204</f>
        <v> 435  </v>
      </c>
      <c r="L213" s="115" t="str">
        <f>Cable!L204</f>
        <v> 380  </v>
      </c>
      <c r="M213" s="115" t="str">
        <f>Cable!M204</f>
        <v> 600  </v>
      </c>
      <c r="N213" s="115" t="str">
        <f>Cable!N204</f>
        <v> 22.56  </v>
      </c>
      <c r="O213" s="115" t="str">
        <f>Cable!O204</f>
        <v> 34.32  </v>
      </c>
      <c r="S213" s="108"/>
    </row>
    <row r="214" spans="3:19" ht="11.25">
      <c r="C214" s="115" t="str">
        <f>Cable!C205</f>
        <v>1cX300  </v>
      </c>
      <c r="D214" s="115">
        <f>Cable!D205</f>
        <v>0.13</v>
      </c>
      <c r="E214" s="115">
        <f>Cable!E205</f>
        <v>0.1002</v>
      </c>
      <c r="F214" s="115">
        <f>Cable!F205</f>
        <v>0.13</v>
      </c>
      <c r="G214" s="115">
        <f>Cable!G205</f>
        <v>0.1002</v>
      </c>
      <c r="H214" s="115" t="str">
        <f>Cable!H205</f>
        <v> 385  </v>
      </c>
      <c r="I214" s="115" t="str">
        <f>Cable!I205</f>
        <v> 335  </v>
      </c>
      <c r="J214" s="115" t="str">
        <f>Cable!J205</f>
        <v> 540  </v>
      </c>
      <c r="K214" s="115" t="str">
        <f>Cable!K205</f>
        <v> 490  </v>
      </c>
      <c r="L214" s="115" t="str">
        <f>Cable!L205</f>
        <v> 425  </v>
      </c>
      <c r="M214" s="115" t="str">
        <f>Cable!M205</f>
        <v> 680  </v>
      </c>
      <c r="N214" s="115" t="str">
        <f>Cable!N205</f>
        <v> 28.20  </v>
      </c>
      <c r="O214" s="115" t="str">
        <f>Cable!O205</f>
        <v> 42.90  </v>
      </c>
      <c r="S214" s="108"/>
    </row>
    <row r="215" spans="3:19" ht="11.25">
      <c r="C215" s="115" t="str">
        <f>Cable!C206</f>
        <v>1cX400  </v>
      </c>
      <c r="D215" s="115">
        <f>Cable!D206</f>
        <v>0.102</v>
      </c>
      <c r="E215" s="115">
        <f>Cable!E206</f>
        <v>0.0968</v>
      </c>
      <c r="F215" s="115">
        <f>Cable!F206</f>
        <v>0.102</v>
      </c>
      <c r="G215" s="115">
        <f>Cable!G206</f>
        <v>0.0968</v>
      </c>
      <c r="H215" s="115" t="str">
        <f>Cable!H206</f>
        <v> 440  </v>
      </c>
      <c r="I215" s="115" t="str">
        <f>Cable!I206</f>
        <v> 380  </v>
      </c>
      <c r="J215" s="115" t="str">
        <f>Cable!J206</f>
        <v> 630  </v>
      </c>
      <c r="K215" s="115" t="str">
        <f>Cable!K206</f>
        <v> 550  </v>
      </c>
      <c r="L215" s="115" t="str">
        <f>Cable!L206</f>
        <v> 480  </v>
      </c>
      <c r="M215" s="115" t="str">
        <f>Cable!M206</f>
        <v> 790  </v>
      </c>
      <c r="N215" s="115" t="str">
        <f>Cable!N206</f>
        <v> 37.60  </v>
      </c>
      <c r="O215" s="115" t="str">
        <f>Cable!O206</f>
        <v> 57.20  </v>
      </c>
      <c r="S215" s="108"/>
    </row>
    <row r="216" spans="3:19" ht="11.25">
      <c r="C216" s="115" t="str">
        <f>Cable!C207</f>
        <v>1cX 500  </v>
      </c>
      <c r="D216" s="115">
        <f>Cable!D207</f>
        <v>0.08</v>
      </c>
      <c r="E216" s="115">
        <f>Cable!E207</f>
        <v>0.0939</v>
      </c>
      <c r="F216" s="115">
        <f>Cable!F207</f>
        <v>0.08</v>
      </c>
      <c r="G216" s="115">
        <f>Cable!G207</f>
        <v>0.0939</v>
      </c>
      <c r="H216" s="115" t="str">
        <f>Cable!H207</f>
        <v> 495  </v>
      </c>
      <c r="I216" s="115" t="str">
        <f>Cable!I207</f>
        <v> 430  </v>
      </c>
      <c r="J216" s="115" t="str">
        <f>Cable!J207</f>
        <v> 730  </v>
      </c>
      <c r="K216" s="115" t="str">
        <f>Cable!K207</f>
        <v> 610  </v>
      </c>
      <c r="L216" s="115" t="str">
        <f>Cable!L207</f>
        <v> 530  </v>
      </c>
      <c r="M216" s="115" t="str">
        <f>Cable!M207</f>
        <v> 910  </v>
      </c>
      <c r="N216" s="115" t="str">
        <f>Cable!N207</f>
        <v> 47.00  </v>
      </c>
      <c r="O216" s="115" t="str">
        <f>Cable!O207</f>
        <v> 71.50  </v>
      </c>
      <c r="S216" s="108"/>
    </row>
    <row r="217" spans="3:19" ht="11.25">
      <c r="C217" s="115" t="str">
        <f>Cable!C208</f>
        <v>1cX 630  </v>
      </c>
      <c r="D217" s="115">
        <f>Cable!D208</f>
        <v>0.063</v>
      </c>
      <c r="E217" s="115">
        <f>Cable!E208</f>
        <v>0.0921</v>
      </c>
      <c r="F217" s="115">
        <f>Cable!F208</f>
        <v>0.063</v>
      </c>
      <c r="G217" s="115">
        <f>Cable!G208</f>
        <v>0.0921</v>
      </c>
      <c r="H217" s="115" t="str">
        <f>Cable!H208</f>
        <v> 560  </v>
      </c>
      <c r="I217" s="115" t="str">
        <f>Cable!I208</f>
        <v> 480  </v>
      </c>
      <c r="J217" s="115" t="str">
        <f>Cable!J208</f>
        <v> 840  </v>
      </c>
      <c r="K217" s="115" t="str">
        <f>Cable!K208</f>
        <v> 680  </v>
      </c>
      <c r="L217" s="115" t="str">
        <f>Cable!L208</f>
        <v> 580  </v>
      </c>
      <c r="M217" s="115" t="str">
        <f>Cable!M208</f>
        <v> 1030  </v>
      </c>
      <c r="N217" s="115" t="str">
        <f>Cable!N208</f>
        <v> 59.22  </v>
      </c>
      <c r="O217" s="115" t="str">
        <f>Cable!O208</f>
        <v> 90.10  </v>
      </c>
      <c r="S217" s="108"/>
    </row>
    <row r="218" spans="3:19" ht="11.25">
      <c r="C218" s="115" t="str">
        <f>Cable!C209</f>
        <v>1cX800  </v>
      </c>
      <c r="D218" s="115">
        <f>Cable!D209</f>
        <v>0.0513</v>
      </c>
      <c r="E218" s="115">
        <f>Cable!E209</f>
        <v>0.097</v>
      </c>
      <c r="F218" s="115">
        <f>Cable!F209</f>
        <v>0.0513</v>
      </c>
      <c r="G218" s="115">
        <f>Cable!G209</f>
        <v>0.097</v>
      </c>
      <c r="H218" s="115" t="str">
        <f>Cable!H209</f>
        <v> 620  </v>
      </c>
      <c r="I218" s="115" t="str">
        <f>Cable!I209</f>
        <v> 530  </v>
      </c>
      <c r="J218" s="115" t="str">
        <f>Cable!J209</f>
        <v> 960  </v>
      </c>
      <c r="K218" s="115" t="str">
        <f>Cable!K209</f>
        <v> 740  </v>
      </c>
      <c r="L218" s="115" t="str">
        <f>Cable!L209</f>
        <v> 630  </v>
      </c>
      <c r="M218" s="115" t="str">
        <f>Cable!M209</f>
        <v> 1140  </v>
      </c>
      <c r="N218" s="115" t="str">
        <f>Cable!N209</f>
        <v> 75.20  </v>
      </c>
      <c r="O218" s="115" t="str">
        <f>Cable!O209</f>
        <v> 114.40  </v>
      </c>
      <c r="S218" s="108"/>
    </row>
    <row r="219" spans="3:19" ht="11.25">
      <c r="C219" s="115" t="str">
        <f>Cable!C210</f>
        <v>1cX1000  </v>
      </c>
      <c r="D219" s="115">
        <f>Cable!D210</f>
        <v>0.0426</v>
      </c>
      <c r="E219" s="115">
        <f>Cable!E210</f>
        <v>0.0875</v>
      </c>
      <c r="F219" s="115">
        <f>Cable!F210</f>
        <v>0.0426</v>
      </c>
      <c r="G219" s="115">
        <f>Cable!G210</f>
        <v>0.0875</v>
      </c>
      <c r="H219" s="115" t="str">
        <f>Cable!H210</f>
        <v> 680  </v>
      </c>
      <c r="I219" s="115" t="str">
        <f>Cable!I210</f>
        <v> 580  </v>
      </c>
      <c r="J219" s="115" t="str">
        <f>Cable!J210</f>
        <v> 1070  </v>
      </c>
      <c r="K219" s="115" t="str">
        <f>Cable!K210</f>
        <v> 790  </v>
      </c>
      <c r="L219" s="115" t="str">
        <f>Cable!L210</f>
        <v> 670  </v>
      </c>
      <c r="M219" s="115" t="str">
        <f>Cable!M210</f>
        <v> 1250  </v>
      </c>
      <c r="N219" s="115" t="str">
        <f>Cable!N210</f>
        <v> 94.00  </v>
      </c>
      <c r="O219" s="115" t="str">
        <f>Cable!O210</f>
        <v> 143.00  </v>
      </c>
      <c r="S219" s="108"/>
    </row>
    <row r="220" spans="3:19" ht="11.25">
      <c r="C220" s="115" t="str">
        <f>Cable!C211</f>
        <v>3cX 25  </v>
      </c>
      <c r="D220" s="115">
        <f>Cable!D211</f>
        <v>1.1</v>
      </c>
      <c r="E220" s="115">
        <f>Cable!E211</f>
        <v>0.134</v>
      </c>
      <c r="F220" s="115">
        <f>Cable!F211</f>
        <v>1.1</v>
      </c>
      <c r="G220" s="115">
        <f>Cable!G211</f>
        <v>0.134</v>
      </c>
      <c r="H220" s="115" t="str">
        <f>Cable!H211</f>
        <v> 95  </v>
      </c>
      <c r="I220" s="115" t="str">
        <f>Cable!I211</f>
        <v> 82  </v>
      </c>
      <c r="J220" s="115" t="str">
        <f>Cable!J211</f>
        <v> 105  </v>
      </c>
      <c r="K220" s="115" t="str">
        <f>Cable!K211</f>
        <v> 120  </v>
      </c>
      <c r="L220" s="115" t="str">
        <f>Cable!L211</f>
        <v> 105  </v>
      </c>
      <c r="M220" s="115" t="str">
        <f>Cable!M211</f>
        <v> 135  </v>
      </c>
      <c r="N220" s="115" t="str">
        <f>Cable!N211</f>
        <v> 2.35  </v>
      </c>
      <c r="O220" s="115" t="str">
        <f>Cable!O211</f>
        <v> 3.58  </v>
      </c>
      <c r="S220" s="108"/>
    </row>
    <row r="221" spans="3:19" ht="11.25">
      <c r="C221" s="115" t="str">
        <f>Cable!C212</f>
        <v>3cX 35  </v>
      </c>
      <c r="D221" s="115">
        <f>Cable!D212</f>
        <v>1.1</v>
      </c>
      <c r="E221" s="115">
        <f>Cable!E212</f>
        <v>0.134</v>
      </c>
      <c r="F221" s="115">
        <f>Cable!F212</f>
        <v>1.1</v>
      </c>
      <c r="G221" s="115">
        <f>Cable!G212</f>
        <v>0.134</v>
      </c>
      <c r="H221" s="115" t="str">
        <f>Cable!H212</f>
        <v> 115  </v>
      </c>
      <c r="I221" s="115" t="str">
        <f>Cable!I212</f>
        <v> 97  </v>
      </c>
      <c r="J221" s="115" t="str">
        <f>Cable!J212</f>
        <v> 125  </v>
      </c>
      <c r="K221" s="115" t="str">
        <f>Cable!K212</f>
        <v> 145  </v>
      </c>
      <c r="L221" s="115" t="str">
        <f>Cable!L212</f>
        <v> 125  </v>
      </c>
      <c r="M221" s="115" t="str">
        <f>Cable!M212</f>
        <v> 165  </v>
      </c>
      <c r="N221" s="115" t="str">
        <f>Cable!N212</f>
        <v> 3.29  </v>
      </c>
      <c r="O221" s="115" t="str">
        <f>Cable!O212</f>
        <v> 5.01  </v>
      </c>
      <c r="S221" s="108"/>
    </row>
    <row r="222" spans="3:19" ht="11.25">
      <c r="C222" s="115" t="str">
        <f>Cable!C213</f>
        <v>3cX 50  </v>
      </c>
      <c r="D222" s="115">
        <f>Cable!D213</f>
        <v>0.822</v>
      </c>
      <c r="E222" s="115">
        <f>Cable!E213</f>
        <v>0.1358</v>
      </c>
      <c r="F222" s="115">
        <f>Cable!F213</f>
        <v>0.822</v>
      </c>
      <c r="G222" s="115">
        <f>Cable!G213</f>
        <v>0.1358</v>
      </c>
      <c r="H222" s="115" t="str">
        <f>Cable!H213</f>
        <v> 130  </v>
      </c>
      <c r="I222" s="115" t="str">
        <f>Cable!I213</f>
        <v> 115  </v>
      </c>
      <c r="J222" s="115" t="str">
        <f>Cable!J213</f>
        <v> 150  </v>
      </c>
      <c r="K222" s="115" t="str">
        <f>Cable!K213</f>
        <v> 170  </v>
      </c>
      <c r="L222" s="115" t="str">
        <f>Cable!L213</f>
        <v> 150  </v>
      </c>
      <c r="M222" s="115" t="str">
        <f>Cable!M213</f>
        <v> 195  </v>
      </c>
      <c r="N222" s="115" t="str">
        <f>Cable!N213</f>
        <v> 4.70  </v>
      </c>
      <c r="O222" s="115" t="str">
        <f>Cable!O213</f>
        <v> 7.15  </v>
      </c>
      <c r="S222" s="108"/>
    </row>
    <row r="223" spans="3:19" ht="11.25">
      <c r="C223" s="115" t="str">
        <f>Cable!C214</f>
        <v>3cX 70  </v>
      </c>
      <c r="D223" s="115">
        <f>Cable!D214</f>
        <v>0.568</v>
      </c>
      <c r="E223" s="115">
        <f>Cable!E214</f>
        <v>0.1237</v>
      </c>
      <c r="F223" s="115">
        <f>Cable!F214</f>
        <v>0.568</v>
      </c>
      <c r="G223" s="115">
        <f>Cable!G214</f>
        <v>0.1237</v>
      </c>
      <c r="H223" s="115" t="str">
        <f>Cable!H214</f>
        <v> 160  </v>
      </c>
      <c r="I223" s="115" t="str">
        <f>Cable!I214</f>
        <v> 140  </v>
      </c>
      <c r="J223" s="115" t="str">
        <f>Cable!J214</f>
        <v> 190  </v>
      </c>
      <c r="K223" s="115" t="str">
        <f>Cable!K214</f>
        <v> 210  </v>
      </c>
      <c r="L223" s="115" t="str">
        <f>Cable!L214</f>
        <v> 180  </v>
      </c>
      <c r="M223" s="115" t="str">
        <f>Cable!M214</f>
        <v> 240  </v>
      </c>
      <c r="N223" s="115" t="str">
        <f>Cable!N214</f>
        <v> 6.58  </v>
      </c>
      <c r="O223" s="115" t="str">
        <f>Cable!O214</f>
        <v> 10.01  </v>
      </c>
      <c r="S223" s="108"/>
    </row>
    <row r="224" spans="3:19" ht="11.25">
      <c r="C224" s="115" t="str">
        <f>Cable!C215</f>
        <v>3cX 95  </v>
      </c>
      <c r="D224" s="115">
        <f>Cable!D215</f>
        <v>0.411</v>
      </c>
      <c r="E224" s="115">
        <f>Cable!E215</f>
        <v>0.1168</v>
      </c>
      <c r="F224" s="115">
        <f>Cable!F215</f>
        <v>0.411</v>
      </c>
      <c r="G224" s="115">
        <f>Cable!G215</f>
        <v>0.1168</v>
      </c>
      <c r="H224" s="115" t="str">
        <f>Cable!H215</f>
        <v> 190  </v>
      </c>
      <c r="I224" s="115" t="str">
        <f>Cable!I215</f>
        <v> 165  </v>
      </c>
      <c r="J224" s="115" t="str">
        <f>Cable!J215</f>
        <v> 230  </v>
      </c>
      <c r="K224" s="115" t="str">
        <f>Cable!K215</f>
        <v> 250  </v>
      </c>
      <c r="L224" s="115" t="str">
        <f>Cable!L215</f>
        <v> 215  </v>
      </c>
      <c r="M224" s="115" t="str">
        <f>Cable!M215</f>
        <v> 295  </v>
      </c>
      <c r="N224" s="115" t="str">
        <f>Cable!N215</f>
        <v> 8.93  </v>
      </c>
      <c r="O224" s="115" t="str">
        <f>Cable!O215</f>
        <v> 13.59  </v>
      </c>
      <c r="S224" s="108"/>
    </row>
    <row r="225" spans="3:19" ht="11.25">
      <c r="C225" s="115" t="str">
        <f>Cable!C216</f>
        <v>3cX 120  </v>
      </c>
      <c r="D225" s="115">
        <f>Cable!D216</f>
        <v>0.325</v>
      </c>
      <c r="E225" s="115">
        <f>Cable!E216</f>
        <v>0.1128</v>
      </c>
      <c r="F225" s="115">
        <f>Cable!F216</f>
        <v>0.325</v>
      </c>
      <c r="G225" s="115">
        <f>Cable!G216</f>
        <v>0.1128</v>
      </c>
      <c r="H225" s="115" t="str">
        <f>Cable!H216</f>
        <v> 220  </v>
      </c>
      <c r="I225" s="115" t="str">
        <f>Cable!I216</f>
        <v> 190  </v>
      </c>
      <c r="J225" s="115" t="str">
        <f>Cable!J216</f>
        <v> 260  </v>
      </c>
      <c r="K225" s="115" t="str">
        <f>Cable!K216</f>
        <v> 280  </v>
      </c>
      <c r="L225" s="115" t="str">
        <f>Cable!L216</f>
        <v> 240  </v>
      </c>
      <c r="M225" s="115" t="str">
        <f>Cable!M216</f>
        <v> 335  </v>
      </c>
      <c r="N225" s="115" t="str">
        <f>Cable!N216</f>
        <v> 11.28  </v>
      </c>
      <c r="O225" s="115" t="str">
        <f>Cable!O216</f>
        <v> 17.16  </v>
      </c>
      <c r="S225" s="108"/>
    </row>
    <row r="226" spans="3:19" ht="11.25">
      <c r="C226" s="115" t="str">
        <f>Cable!C217</f>
        <v>3cX 150  </v>
      </c>
      <c r="D226" s="115">
        <f>Cable!D217</f>
        <v>0.265</v>
      </c>
      <c r="E226" s="115">
        <f>Cable!E217</f>
        <v>0.1096</v>
      </c>
      <c r="F226" s="115">
        <f>Cable!F217</f>
        <v>0.265</v>
      </c>
      <c r="G226" s="115">
        <f>Cable!G217</f>
        <v>0.1096</v>
      </c>
      <c r="H226" s="115" t="str">
        <f>Cable!H217</f>
        <v> 245  </v>
      </c>
      <c r="I226" s="115" t="str">
        <f>Cable!I217</f>
        <v> 210  </v>
      </c>
      <c r="J226" s="115" t="str">
        <f>Cable!J217</f>
        <v> 295  </v>
      </c>
      <c r="K226" s="115" t="str">
        <f>Cable!K217</f>
        <v> 310  </v>
      </c>
      <c r="L226" s="115" t="str">
        <f>Cable!L217</f>
        <v> 270  </v>
      </c>
      <c r="M226" s="115" t="str">
        <f>Cable!M217</f>
        <v> 380  </v>
      </c>
      <c r="N226" s="115" t="str">
        <f>Cable!N217</f>
        <v> 14.10  </v>
      </c>
      <c r="O226" s="115" t="str">
        <f>Cable!O217</f>
        <v> 21.45  </v>
      </c>
      <c r="S226" s="108"/>
    </row>
    <row r="227" spans="3:19" ht="11.25">
      <c r="C227" s="115" t="str">
        <f>Cable!C218</f>
        <v>3cX 185  </v>
      </c>
      <c r="D227" s="115">
        <f>Cable!D218</f>
        <v>0.211</v>
      </c>
      <c r="E227" s="115">
        <f>Cable!E218</f>
        <v>0.1073</v>
      </c>
      <c r="F227" s="115">
        <f>Cable!F218</f>
        <v>0.211</v>
      </c>
      <c r="G227" s="115">
        <f>Cable!G218</f>
        <v>0.1073</v>
      </c>
      <c r="H227" s="115" t="str">
        <f>Cable!H218</f>
        <v> 275  </v>
      </c>
      <c r="I227" s="115" t="str">
        <f>Cable!I218</f>
        <v> 240  </v>
      </c>
      <c r="J227" s="115" t="str">
        <f>Cable!J218</f>
        <v> 335  </v>
      </c>
      <c r="K227" s="115" t="str">
        <f>Cable!K218</f>
        <v> 350  </v>
      </c>
      <c r="L227" s="115" t="str">
        <f>Cable!L218</f>
        <v> 305  </v>
      </c>
      <c r="M227" s="115" t="str">
        <f>Cable!M218</f>
        <v> 430  </v>
      </c>
      <c r="N227" s="115" t="str">
        <f>Cable!N218</f>
        <v> 17.39  </v>
      </c>
      <c r="O227" s="115" t="str">
        <f>Cable!O218</f>
        <v> 26.46  </v>
      </c>
      <c r="S227" s="108"/>
    </row>
    <row r="228" spans="3:15" ht="11.25">
      <c r="C228" s="115" t="str">
        <f>Cable!C219</f>
        <v>3cX 240  </v>
      </c>
      <c r="D228" s="115">
        <f>Cable!D219</f>
        <v>0.161</v>
      </c>
      <c r="E228" s="115">
        <f>Cable!E219</f>
        <v>0.1041</v>
      </c>
      <c r="F228" s="115">
        <f>Cable!F219</f>
        <v>0.161</v>
      </c>
      <c r="G228" s="115">
        <f>Cable!G219</f>
        <v>0.1041</v>
      </c>
      <c r="H228" s="115" t="str">
        <f>Cable!H219</f>
        <v> 315  </v>
      </c>
      <c r="I228" s="115" t="str">
        <f>Cable!I219</f>
        <v> 275  </v>
      </c>
      <c r="J228" s="115" t="str">
        <f>Cable!J219</f>
        <v> 395  </v>
      </c>
      <c r="K228" s="115" t="str">
        <f>Cable!K219</f>
        <v> 400  </v>
      </c>
      <c r="L228" s="115" t="str">
        <f>Cable!L219</f>
        <v> 350  </v>
      </c>
      <c r="M228" s="115" t="str">
        <f>Cable!M219</f>
        <v> 500  </v>
      </c>
      <c r="N228" s="115" t="str">
        <f>Cable!N219</f>
        <v> 22.56  </v>
      </c>
      <c r="O228" s="115" t="str">
        <f>Cable!O219</f>
        <v> 34.32  </v>
      </c>
    </row>
    <row r="229" spans="3:15" ht="11.25">
      <c r="C229" s="115" t="str">
        <f>Cable!C220</f>
        <v>3cX 300  </v>
      </c>
      <c r="D229" s="115">
        <f>Cable!D220</f>
        <v>0.13</v>
      </c>
      <c r="E229" s="115">
        <f>Cable!E220</f>
        <v>0.1002</v>
      </c>
      <c r="F229" s="115">
        <f>Cable!F220</f>
        <v>0.13</v>
      </c>
      <c r="G229" s="115">
        <f>Cable!G220</f>
        <v>0.1002</v>
      </c>
      <c r="H229" s="115" t="str">
        <f>Cable!H220</f>
        <v> 355  </v>
      </c>
      <c r="I229" s="115" t="str">
        <f>Cable!I220</f>
        <v> 310  </v>
      </c>
      <c r="J229" s="115" t="str">
        <f>Cable!J220</f>
        <v> 450  </v>
      </c>
      <c r="K229" s="115" t="str">
        <f>Cable!K220</f>
        <v> 445  </v>
      </c>
      <c r="L229" s="115" t="str">
        <f>Cable!L220</f>
        <v> 390  </v>
      </c>
      <c r="M229" s="115" t="str">
        <f>Cable!M220</f>
        <v> 570  </v>
      </c>
      <c r="N229" s="115" t="str">
        <f>Cable!N220</f>
        <v> 28.20  </v>
      </c>
      <c r="O229" s="115" t="str">
        <f>Cable!O220</f>
        <v> 42.90  </v>
      </c>
    </row>
    <row r="230" spans="3:15" ht="11.25">
      <c r="C230" s="115" t="str">
        <f>Cable!C221</f>
        <v>3cX 400  </v>
      </c>
      <c r="D230" s="115">
        <f>Cable!D221</f>
        <v>0.102</v>
      </c>
      <c r="E230" s="115">
        <f>Cable!E221</f>
        <v>0.0968</v>
      </c>
      <c r="F230" s="115">
        <f>Cable!F221</f>
        <v>0.102</v>
      </c>
      <c r="G230" s="115">
        <f>Cable!G221</f>
        <v>0.0968</v>
      </c>
      <c r="H230" s="115" t="str">
        <f>Cable!H221</f>
        <v> 400  </v>
      </c>
      <c r="I230" s="115" t="str">
        <f>Cable!I221</f>
        <v> 350  </v>
      </c>
      <c r="J230" s="115" t="str">
        <f>Cable!J221</f>
        <v> 520  </v>
      </c>
      <c r="K230" s="115" t="str">
        <f>Cable!K221</f>
        <v> 500  </v>
      </c>
      <c r="L230" s="115" t="str">
        <f>Cable!L221</f>
        <v> 440  </v>
      </c>
      <c r="M230" s="115" t="str">
        <f>Cable!M221</f>
        <v> 650  </v>
      </c>
      <c r="N230" s="115" t="str">
        <f>Cable!N221</f>
        <v> 37.60  </v>
      </c>
      <c r="O230" s="115" t="str">
        <f>Cable!O221</f>
        <v> 57.20  </v>
      </c>
    </row>
    <row r="233" spans="3:15" ht="11.25">
      <c r="C233" s="379" t="s">
        <v>71</v>
      </c>
      <c r="D233" s="381" t="s">
        <v>117</v>
      </c>
      <c r="E233" s="381"/>
      <c r="F233" s="381"/>
      <c r="G233" s="381"/>
      <c r="H233" s="381"/>
      <c r="I233" s="381"/>
      <c r="J233" s="381"/>
      <c r="K233" s="381"/>
      <c r="L233" s="381"/>
      <c r="M233" s="381"/>
      <c r="N233" s="381"/>
      <c r="O233" s="381"/>
    </row>
    <row r="234" spans="3:15" ht="11.25">
      <c r="C234" s="379"/>
      <c r="D234" s="378" t="s">
        <v>101</v>
      </c>
      <c r="E234" s="378"/>
      <c r="F234" s="378" t="s">
        <v>102</v>
      </c>
      <c r="G234" s="378"/>
      <c r="H234" s="382" t="s">
        <v>111</v>
      </c>
      <c r="I234" s="382"/>
      <c r="J234" s="382"/>
      <c r="K234" s="382" t="s">
        <v>102</v>
      </c>
      <c r="L234" s="382"/>
      <c r="M234" s="382"/>
      <c r="N234" s="378" t="s">
        <v>103</v>
      </c>
      <c r="O234" s="378"/>
    </row>
    <row r="235" spans="3:15" ht="11.25">
      <c r="C235" s="379"/>
      <c r="D235" s="113" t="s">
        <v>104</v>
      </c>
      <c r="E235" s="113" t="s">
        <v>105</v>
      </c>
      <c r="F235" s="113" t="s">
        <v>104</v>
      </c>
      <c r="G235" s="113" t="s">
        <v>105</v>
      </c>
      <c r="H235" s="114" t="s">
        <v>51</v>
      </c>
      <c r="I235" s="114" t="s">
        <v>106</v>
      </c>
      <c r="J235" s="114" t="s">
        <v>50</v>
      </c>
      <c r="K235" s="114" t="s">
        <v>51</v>
      </c>
      <c r="L235" s="114" t="s">
        <v>106</v>
      </c>
      <c r="M235" s="114" t="s">
        <v>50</v>
      </c>
      <c r="N235" s="378" t="s">
        <v>101</v>
      </c>
      <c r="O235" s="378" t="s">
        <v>102</v>
      </c>
    </row>
    <row r="236" spans="3:15" ht="11.25">
      <c r="C236" s="114"/>
      <c r="D236" s="114" t="s">
        <v>107</v>
      </c>
      <c r="E236" s="114" t="s">
        <v>107</v>
      </c>
      <c r="F236" s="114" t="s">
        <v>107</v>
      </c>
      <c r="G236" s="114" t="s">
        <v>107</v>
      </c>
      <c r="H236" s="114" t="s">
        <v>0</v>
      </c>
      <c r="I236" s="114" t="s">
        <v>0</v>
      </c>
      <c r="J236" s="114" t="s">
        <v>0</v>
      </c>
      <c r="K236" s="114" t="s">
        <v>0</v>
      </c>
      <c r="L236" s="114" t="s">
        <v>0</v>
      </c>
      <c r="M236" s="114" t="s">
        <v>0</v>
      </c>
      <c r="N236" s="378"/>
      <c r="O236" s="378"/>
    </row>
    <row r="237" spans="3:15" ht="11.25">
      <c r="C237" s="114" t="str">
        <f>Cable!C227</f>
        <v>1cX 95  </v>
      </c>
      <c r="D237" s="114">
        <f>Cable!D227</f>
        <v>0.32</v>
      </c>
      <c r="E237" s="114">
        <f>Cable!E227</f>
        <v>0.219</v>
      </c>
      <c r="F237" s="114">
        <f>Cable!F227</f>
        <v>0</v>
      </c>
      <c r="G237" s="114">
        <f>Cable!G227</f>
        <v>0</v>
      </c>
      <c r="H237" s="114">
        <f>Cable!H227</f>
        <v>195</v>
      </c>
      <c r="I237" s="114">
        <f>Cable!I227</f>
        <v>240</v>
      </c>
      <c r="J237" s="114">
        <f>Cable!J227</f>
        <v>240</v>
      </c>
      <c r="K237" s="114">
        <f>Cable!K227</f>
        <v>0</v>
      </c>
      <c r="L237" s="114">
        <f>Cable!L227</f>
        <v>0</v>
      </c>
      <c r="M237" s="114">
        <f>Cable!M227</f>
        <v>0</v>
      </c>
      <c r="N237" s="114">
        <f>Cable!N227</f>
        <v>9.8</v>
      </c>
      <c r="O237" s="114">
        <f>Cable!O227</f>
        <v>0</v>
      </c>
    </row>
    <row r="238" spans="3:15" ht="11.25">
      <c r="C238" s="114" t="str">
        <f>Cable!C228</f>
        <v>1cX120  </v>
      </c>
      <c r="D238" s="114">
        <f>Cable!D228</f>
        <v>0.253</v>
      </c>
      <c r="E238" s="114">
        <f>Cable!E228</f>
        <v>0.218</v>
      </c>
      <c r="F238" s="114">
        <f>Cable!F228</f>
        <v>0</v>
      </c>
      <c r="G238" s="114">
        <f>Cable!G228</f>
        <v>0</v>
      </c>
      <c r="H238" s="114">
        <f>Cable!H228</f>
        <v>220</v>
      </c>
      <c r="I238" s="114">
        <f>Cable!I228</f>
        <v>280</v>
      </c>
      <c r="J238" s="114">
        <f>Cable!J228</f>
        <v>280</v>
      </c>
      <c r="K238" s="114">
        <f>Cable!K228</f>
        <v>0</v>
      </c>
      <c r="L238" s="114">
        <f>Cable!L228</f>
        <v>0</v>
      </c>
      <c r="M238" s="114">
        <f>Cable!M228</f>
        <v>0</v>
      </c>
      <c r="N238" s="114">
        <f>Cable!N228</f>
        <v>12.4</v>
      </c>
      <c r="O238" s="114">
        <f>Cable!O228</f>
        <v>0</v>
      </c>
    </row>
    <row r="239" spans="3:15" ht="11.25">
      <c r="C239" s="114" t="str">
        <f>Cable!C229</f>
        <v>1cX150  </v>
      </c>
      <c r="D239" s="114">
        <f>Cable!D229</f>
        <v>0.206</v>
      </c>
      <c r="E239" s="114">
        <f>Cable!E229</f>
        <v>0.217</v>
      </c>
      <c r="F239" s="114">
        <f>Cable!F229</f>
        <v>0</v>
      </c>
      <c r="G239" s="114">
        <f>Cable!G229</f>
        <v>0</v>
      </c>
      <c r="H239" s="114">
        <f>Cable!H229</f>
        <v>240</v>
      </c>
      <c r="I239" s="114">
        <f>Cable!I229</f>
        <v>335</v>
      </c>
      <c r="J239" s="114">
        <f>Cable!J229</f>
        <v>335</v>
      </c>
      <c r="K239" s="114">
        <f>Cable!K229</f>
        <v>0</v>
      </c>
      <c r="L239" s="114">
        <f>Cable!L229</f>
        <v>0</v>
      </c>
      <c r="M239" s="114">
        <f>Cable!M229</f>
        <v>0</v>
      </c>
      <c r="N239" s="114">
        <f>Cable!N229</f>
        <v>15.5</v>
      </c>
      <c r="O239" s="114">
        <f>Cable!O229</f>
        <v>0</v>
      </c>
    </row>
    <row r="240" spans="3:15" ht="11.25">
      <c r="C240" s="114" t="str">
        <f>Cable!C230</f>
        <v>1cX185  </v>
      </c>
      <c r="D240" s="114">
        <f>Cable!D230</f>
        <v>0.164</v>
      </c>
      <c r="E240" s="114">
        <f>Cable!E230</f>
        <v>0.215</v>
      </c>
      <c r="F240" s="114">
        <f>Cable!F230</f>
        <v>0</v>
      </c>
      <c r="G240" s="114">
        <f>Cable!G230</f>
        <v>0</v>
      </c>
      <c r="H240" s="114">
        <f>Cable!H230</f>
        <v>275</v>
      </c>
      <c r="I240" s="114">
        <f>Cable!I230</f>
        <v>380</v>
      </c>
      <c r="J240" s="114">
        <f>Cable!J230</f>
        <v>380</v>
      </c>
      <c r="K240" s="114">
        <f>Cable!K230</f>
        <v>0</v>
      </c>
      <c r="L240" s="114">
        <f>Cable!L230</f>
        <v>0</v>
      </c>
      <c r="M240" s="114">
        <f>Cable!M230</f>
        <v>0</v>
      </c>
      <c r="N240" s="114">
        <f>Cable!N230</f>
        <v>19.2</v>
      </c>
      <c r="O240" s="114">
        <f>Cable!O230</f>
        <v>0</v>
      </c>
    </row>
    <row r="241" spans="3:15" ht="11.25">
      <c r="C241" s="114" t="str">
        <f>Cable!C231</f>
        <v>1cX240  </v>
      </c>
      <c r="D241" s="114">
        <f>Cable!D231</f>
        <v>0.125</v>
      </c>
      <c r="E241" s="114">
        <f>Cable!E231</f>
        <v>0.2</v>
      </c>
      <c r="F241" s="114">
        <f>Cable!F231</f>
        <v>0</v>
      </c>
      <c r="G241" s="114">
        <f>Cable!G231</f>
        <v>0</v>
      </c>
      <c r="H241" s="114">
        <f>Cable!H231</f>
        <v>320</v>
      </c>
      <c r="I241" s="114">
        <f>Cable!I231</f>
        <v>450</v>
      </c>
      <c r="J241" s="114">
        <f>Cable!J231</f>
        <v>450</v>
      </c>
      <c r="K241" s="114">
        <f>Cable!K231</f>
        <v>0</v>
      </c>
      <c r="L241" s="114">
        <f>Cable!L231</f>
        <v>0</v>
      </c>
      <c r="M241" s="114">
        <f>Cable!M231</f>
        <v>0</v>
      </c>
      <c r="N241" s="114">
        <f>Cable!N231</f>
        <v>24.8</v>
      </c>
      <c r="O241" s="114">
        <f>Cable!O231</f>
        <v>0</v>
      </c>
    </row>
    <row r="242" spans="3:15" ht="11.25">
      <c r="C242" s="114" t="str">
        <f>Cable!C232</f>
        <v>1cX300  </v>
      </c>
      <c r="D242" s="114">
        <f>Cable!D232</f>
        <v>0.1</v>
      </c>
      <c r="E242" s="114">
        <f>Cable!E232</f>
        <v>0.19</v>
      </c>
      <c r="F242" s="114">
        <f>Cable!F232</f>
        <v>0</v>
      </c>
      <c r="G242" s="114">
        <f>Cable!G232</f>
        <v>0</v>
      </c>
      <c r="H242" s="114">
        <f>Cable!H232</f>
        <v>360</v>
      </c>
      <c r="I242" s="114">
        <f>Cable!I232</f>
        <v>510</v>
      </c>
      <c r="J242" s="114">
        <f>Cable!J232</f>
        <v>510</v>
      </c>
      <c r="K242" s="114">
        <f>Cable!K232</f>
        <v>0</v>
      </c>
      <c r="L242" s="114">
        <f>Cable!L232</f>
        <v>0</v>
      </c>
      <c r="M242" s="114">
        <f>Cable!M232</f>
        <v>0</v>
      </c>
      <c r="N242" s="114">
        <f>Cable!N232</f>
        <v>31.1</v>
      </c>
      <c r="O242" s="114">
        <f>Cable!O232</f>
        <v>0</v>
      </c>
    </row>
    <row r="243" spans="3:15" ht="11.25">
      <c r="C243" s="114" t="str">
        <f>Cable!C233</f>
        <v>1cX400  </v>
      </c>
      <c r="D243" s="114">
        <f>Cable!D233</f>
        <v>0.778</v>
      </c>
      <c r="E243" s="114">
        <f>Cable!E233</f>
        <v>0.181</v>
      </c>
      <c r="F243" s="114">
        <f>Cable!F233</f>
        <v>0</v>
      </c>
      <c r="G243" s="114">
        <f>Cable!G233</f>
        <v>0</v>
      </c>
      <c r="H243" s="114">
        <f>Cable!H233</f>
        <v>410</v>
      </c>
      <c r="I243" s="114">
        <f>Cable!I233</f>
        <v>595</v>
      </c>
      <c r="J243" s="114">
        <f>Cable!J233</f>
        <v>595</v>
      </c>
      <c r="K243" s="114">
        <f>Cable!K233</f>
        <v>0</v>
      </c>
      <c r="L243" s="114">
        <f>Cable!L233</f>
        <v>0</v>
      </c>
      <c r="M243" s="114">
        <f>Cable!M233</f>
        <v>0</v>
      </c>
      <c r="N243" s="114">
        <f>Cable!N233</f>
        <v>41.4</v>
      </c>
      <c r="O243" s="114">
        <f>Cable!O233</f>
        <v>0</v>
      </c>
    </row>
    <row r="244" spans="3:15" ht="11.25">
      <c r="C244" s="114" t="str">
        <f>Cable!C234</f>
        <v>1cX 500  </v>
      </c>
      <c r="D244" s="114">
        <f>Cable!D234</f>
        <v>0.0605</v>
      </c>
      <c r="E244" s="114">
        <f>Cable!E234</f>
        <v>0.183</v>
      </c>
      <c r="F244" s="114">
        <f>Cable!F234</f>
        <v>0</v>
      </c>
      <c r="G244" s="114">
        <f>Cable!G234</f>
        <v>0</v>
      </c>
      <c r="H244" s="114">
        <f>Cable!H234</f>
        <v>460</v>
      </c>
      <c r="I244" s="114">
        <f>Cable!I234</f>
        <v>690</v>
      </c>
      <c r="J244" s="114">
        <f>Cable!J234</f>
        <v>690</v>
      </c>
      <c r="K244" s="114">
        <f>Cable!K234</f>
        <v>0</v>
      </c>
      <c r="L244" s="114">
        <f>Cable!L234</f>
        <v>0</v>
      </c>
      <c r="M244" s="114">
        <f>Cable!M234</f>
        <v>0</v>
      </c>
      <c r="N244" s="114">
        <f>Cable!N234</f>
        <v>51.8</v>
      </c>
      <c r="O244" s="114">
        <f>Cable!O234</f>
        <v>0</v>
      </c>
    </row>
    <row r="245" spans="3:15" ht="11.25">
      <c r="C245" s="114" t="str">
        <f>Cable!C235</f>
        <v>1cX 630  </v>
      </c>
      <c r="D245" s="114">
        <f>Cable!D235</f>
        <v>0.0469</v>
      </c>
      <c r="E245" s="114">
        <f>Cable!E235</f>
        <v>0.183</v>
      </c>
      <c r="F245" s="114">
        <f>Cable!F235</f>
        <v>0</v>
      </c>
      <c r="G245" s="114">
        <f>Cable!G235</f>
        <v>0</v>
      </c>
      <c r="H245" s="114">
        <f>Cable!H235</f>
        <v>525</v>
      </c>
      <c r="I245" s="114">
        <f>Cable!I235</f>
        <v>800</v>
      </c>
      <c r="J245" s="114">
        <f>Cable!J235</f>
        <v>800</v>
      </c>
      <c r="K245" s="114">
        <f>Cable!K235</f>
        <v>0</v>
      </c>
      <c r="L245" s="114">
        <f>Cable!L235</f>
        <v>0</v>
      </c>
      <c r="M245" s="114">
        <f>Cable!M235</f>
        <v>0</v>
      </c>
      <c r="N245" s="114">
        <f>Cable!N235</f>
        <v>65.2</v>
      </c>
      <c r="O245" s="114">
        <f>Cable!O235</f>
        <v>0</v>
      </c>
    </row>
    <row r="246" spans="3:15" ht="11.25">
      <c r="C246" s="114" t="str">
        <f>Cable!C236</f>
        <v>1cX800  </v>
      </c>
      <c r="D246" s="114">
        <f>Cable!D236</f>
        <v>0.0367</v>
      </c>
      <c r="E246" s="114">
        <f>Cable!E236</f>
        <v>0.183</v>
      </c>
      <c r="F246" s="114">
        <f>Cable!F236</f>
        <v>0</v>
      </c>
      <c r="G246" s="114">
        <f>Cable!G236</f>
        <v>0</v>
      </c>
      <c r="H246" s="114">
        <f>Cable!H236</f>
        <v>590</v>
      </c>
      <c r="I246" s="114">
        <f>Cable!I236</f>
        <v>910</v>
      </c>
      <c r="J246" s="114">
        <f>Cable!J236</f>
        <v>910</v>
      </c>
      <c r="K246" s="114">
        <f>Cable!K236</f>
        <v>0</v>
      </c>
      <c r="L246" s="114">
        <f>Cable!L236</f>
        <v>0</v>
      </c>
      <c r="M246" s="114">
        <f>Cable!M236</f>
        <v>0</v>
      </c>
      <c r="N246" s="114">
        <f>Cable!N236</f>
        <v>82.8</v>
      </c>
      <c r="O246" s="114">
        <f>Cable!O236</f>
        <v>0</v>
      </c>
    </row>
    <row r="247" spans="3:15" ht="11.25">
      <c r="C247" s="114" t="str">
        <f>Cable!C237</f>
        <v>1cX1000  </v>
      </c>
      <c r="D247" s="114">
        <f>Cable!D237</f>
        <v>0.0291</v>
      </c>
      <c r="E247" s="114">
        <f>Cable!E237</f>
        <v>0.183</v>
      </c>
      <c r="F247" s="114">
        <f>Cable!F237</f>
        <v>0</v>
      </c>
      <c r="G247" s="114">
        <f>Cable!G237</f>
        <v>0</v>
      </c>
      <c r="H247" s="114">
        <f>Cable!H237</f>
        <v>650</v>
      </c>
      <c r="I247" s="114">
        <f>Cable!I237</f>
        <v>1010</v>
      </c>
      <c r="J247" s="114">
        <f>Cable!J237</f>
        <v>1010</v>
      </c>
      <c r="K247" s="114">
        <f>Cable!K237</f>
        <v>0</v>
      </c>
      <c r="L247" s="114">
        <f>Cable!L237</f>
        <v>0</v>
      </c>
      <c r="M247" s="114">
        <f>Cable!M237</f>
        <v>0</v>
      </c>
      <c r="N247" s="114">
        <f>Cable!N237</f>
        <v>104</v>
      </c>
      <c r="O247" s="114">
        <f>Cable!O237</f>
        <v>0</v>
      </c>
    </row>
  </sheetData>
  <sheetProtection password="CE28" sheet="1" formatCells="0" formatColumns="0" formatRows="0"/>
  <mergeCells count="73">
    <mergeCell ref="AF23:AG23"/>
    <mergeCell ref="D5:H5"/>
    <mergeCell ref="AF13:AF14"/>
    <mergeCell ref="D40:E40"/>
    <mergeCell ref="H40:J40"/>
    <mergeCell ref="F6:F7"/>
    <mergeCell ref="AG13:AL13"/>
    <mergeCell ref="R14:R15"/>
    <mergeCell ref="S14:T14"/>
    <mergeCell ref="R13:T13"/>
    <mergeCell ref="U14:U15"/>
    <mergeCell ref="V14:W14"/>
    <mergeCell ref="U13:W13"/>
    <mergeCell ref="X13:Y13"/>
    <mergeCell ref="D6:D7"/>
    <mergeCell ref="X14:Y14"/>
    <mergeCell ref="X22:Y22"/>
    <mergeCell ref="N136:O136"/>
    <mergeCell ref="N137:N138"/>
    <mergeCell ref="W40:Y40"/>
    <mergeCell ref="F40:G40"/>
    <mergeCell ref="R40:S40"/>
    <mergeCell ref="T40:V40"/>
    <mergeCell ref="C169:C171"/>
    <mergeCell ref="D169:O169"/>
    <mergeCell ref="D170:E170"/>
    <mergeCell ref="F170:G170"/>
    <mergeCell ref="H170:J170"/>
    <mergeCell ref="C39:C41"/>
    <mergeCell ref="N171:N172"/>
    <mergeCell ref="O171:O172"/>
    <mergeCell ref="O137:O138"/>
    <mergeCell ref="D39:O39"/>
    <mergeCell ref="N170:O170"/>
    <mergeCell ref="Z41:Z42"/>
    <mergeCell ref="AA41:AA42"/>
    <mergeCell ref="H6:H7"/>
    <mergeCell ref="Z13:AE13"/>
    <mergeCell ref="AA22:AE22"/>
    <mergeCell ref="P40:Q40"/>
    <mergeCell ref="N41:N42"/>
    <mergeCell ref="O41:O42"/>
    <mergeCell ref="K170:M170"/>
    <mergeCell ref="K202:M202"/>
    <mergeCell ref="N202:O202"/>
    <mergeCell ref="K136:M136"/>
    <mergeCell ref="N40:O40"/>
    <mergeCell ref="P39:AA39"/>
    <mergeCell ref="C135:C137"/>
    <mergeCell ref="D135:O135"/>
    <mergeCell ref="D136:E136"/>
    <mergeCell ref="F136:G136"/>
    <mergeCell ref="H136:J136"/>
    <mergeCell ref="H234:J234"/>
    <mergeCell ref="K234:M234"/>
    <mergeCell ref="K40:M40"/>
    <mergeCell ref="Z40:AA40"/>
    <mergeCell ref="O235:O236"/>
    <mergeCell ref="C201:C203"/>
    <mergeCell ref="D201:O201"/>
    <mergeCell ref="D202:E202"/>
    <mergeCell ref="F202:G202"/>
    <mergeCell ref="H202:J202"/>
    <mergeCell ref="N234:O234"/>
    <mergeCell ref="N235:N236"/>
    <mergeCell ref="N203:N204"/>
    <mergeCell ref="O203:O204"/>
    <mergeCell ref="G6:G7"/>
    <mergeCell ref="C5:C7"/>
    <mergeCell ref="C233:C235"/>
    <mergeCell ref="D233:O233"/>
    <mergeCell ref="D234:E234"/>
    <mergeCell ref="F234:G23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2020-07-27T08:02:55Z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